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LIXO FINAL 2025\"/>
    </mc:Choice>
  </mc:AlternateContent>
  <xr:revisionPtr revIDLastSave="0" documentId="8_{74E858FF-55CF-4EC1-A616-ED5803BE17A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Resumo (1a. Repac)ñ" sheetId="1" r:id="rId1"/>
    <sheet name="1. Domiciliar - BT (1a. Repac)ñ" sheetId="2" r:id="rId2"/>
    <sheet name="1. Domiciliar - AT (1a. Repac)ñ" sheetId="3" r:id="rId3"/>
  </sheets>
  <externalReferences>
    <externalReference r:id="rId4"/>
  </externalReferences>
  <definedNames>
    <definedName name="_xlnm.Print_Area" localSheetId="2">'1. Domiciliar - AT (1a. Repac)ñ'!$A$11:$F$345</definedName>
    <definedName name="_xlnm.Print_Area" localSheetId="1">'1. Domiciliar - BT (1a. Repac)ñ'!$A$11:$F$276</definedName>
    <definedName name="_xlnm.Print_Area" localSheetId="0">'Resumo (1a. Repac)ñ'!$A$1:$H$4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71" i="2" l="1"/>
  <c r="F340" i="3"/>
  <c r="F232" i="2"/>
  <c r="D230" i="3"/>
  <c r="D161" i="2"/>
  <c r="E195" i="2"/>
  <c r="F325" i="3"/>
  <c r="F284" i="3"/>
  <c r="E126" i="2"/>
  <c r="D183" i="3"/>
  <c r="G345" i="3"/>
  <c r="E325" i="3"/>
  <c r="D323" i="3"/>
  <c r="E321" i="3"/>
  <c r="E322" i="3" s="1"/>
  <c r="E38" i="3" s="1"/>
  <c r="C321" i="3"/>
  <c r="C323" i="3" s="1"/>
  <c r="E323" i="3" s="1"/>
  <c r="D324" i="3" s="1"/>
  <c r="E324" i="3" s="1"/>
  <c r="E313" i="3"/>
  <c r="E312" i="3"/>
  <c r="E311" i="3"/>
  <c r="E310" i="3"/>
  <c r="C309" i="3"/>
  <c r="E309" i="3" s="1"/>
  <c r="E308" i="3"/>
  <c r="D308" i="3"/>
  <c r="C308" i="3"/>
  <c r="D307" i="3"/>
  <c r="C307" i="3"/>
  <c r="E307" i="3" s="1"/>
  <c r="D306" i="3"/>
  <c r="C306" i="3"/>
  <c r="E306" i="3" s="1"/>
  <c r="E295" i="3"/>
  <c r="C295" i="3"/>
  <c r="E293" i="3"/>
  <c r="D293" i="3"/>
  <c r="C288" i="3"/>
  <c r="E288" i="3" s="1"/>
  <c r="F289" i="3" s="1"/>
  <c r="E35" i="3" s="1"/>
  <c r="D282" i="3"/>
  <c r="C282" i="3"/>
  <c r="E282" i="3" s="1"/>
  <c r="D281" i="3"/>
  <c r="E280" i="3"/>
  <c r="C280" i="3"/>
  <c r="D279" i="3"/>
  <c r="E278" i="3"/>
  <c r="D278" i="3"/>
  <c r="C278" i="3"/>
  <c r="D277" i="3"/>
  <c r="D275" i="3"/>
  <c r="D276" i="3" s="1"/>
  <c r="C276" i="3"/>
  <c r="E276" i="3" s="1"/>
  <c r="D273" i="3"/>
  <c r="E266" i="3"/>
  <c r="E264" i="3"/>
  <c r="E263" i="3"/>
  <c r="E258" i="3"/>
  <c r="C257" i="3"/>
  <c r="C247" i="3"/>
  <c r="E242" i="3"/>
  <c r="C239" i="3"/>
  <c r="C238" i="3"/>
  <c r="C235" i="3"/>
  <c r="C251" i="3" s="1"/>
  <c r="E251" i="3" s="1"/>
  <c r="C234" i="3"/>
  <c r="C233" i="3"/>
  <c r="H230" i="3"/>
  <c r="D235" i="3" s="1"/>
  <c r="E235" i="3" s="1"/>
  <c r="D238" i="3" s="1"/>
  <c r="E220" i="3"/>
  <c r="E218" i="3"/>
  <c r="D218" i="3"/>
  <c r="D216" i="3"/>
  <c r="E216" i="3" s="1"/>
  <c r="D215" i="3"/>
  <c r="E215" i="3" s="1"/>
  <c r="E207" i="3"/>
  <c r="E205" i="3"/>
  <c r="D205" i="3"/>
  <c r="E204" i="3"/>
  <c r="E203" i="3"/>
  <c r="E202" i="3"/>
  <c r="D201" i="3"/>
  <c r="E201" i="3" s="1"/>
  <c r="E200" i="3"/>
  <c r="D200" i="3"/>
  <c r="E199" i="3"/>
  <c r="D198" i="3"/>
  <c r="E198" i="3" s="1"/>
  <c r="D214" i="3"/>
  <c r="E214" i="3" s="1"/>
  <c r="D213" i="3"/>
  <c r="E213" i="3" s="1"/>
  <c r="D195" i="3"/>
  <c r="D212" i="3" s="1"/>
  <c r="E212" i="3" s="1"/>
  <c r="E186" i="3"/>
  <c r="D185" i="3"/>
  <c r="A184" i="3"/>
  <c r="A183" i="3"/>
  <c r="D178" i="3"/>
  <c r="D177" i="3"/>
  <c r="A177" i="3"/>
  <c r="D176" i="3"/>
  <c r="A176" i="3"/>
  <c r="A170" i="3"/>
  <c r="A169" i="3"/>
  <c r="D160" i="3"/>
  <c r="C155" i="3"/>
  <c r="C154" i="3"/>
  <c r="C140" i="3"/>
  <c r="C139" i="3"/>
  <c r="C161" i="3" s="1"/>
  <c r="C138" i="3"/>
  <c r="E131" i="3"/>
  <c r="D123" i="3"/>
  <c r="E123" i="3" s="1"/>
  <c r="D122" i="3"/>
  <c r="D141" i="3" s="1"/>
  <c r="E120" i="3"/>
  <c r="D155" i="3" s="1"/>
  <c r="D164" i="3" s="1"/>
  <c r="C109" i="3"/>
  <c r="C107" i="3"/>
  <c r="C108" i="3" s="1"/>
  <c r="C110" i="3" s="1"/>
  <c r="E100" i="3"/>
  <c r="D92" i="3"/>
  <c r="E92" i="3" s="1"/>
  <c r="D91" i="3"/>
  <c r="E91" i="3" s="1"/>
  <c r="C91" i="3"/>
  <c r="E89" i="3"/>
  <c r="C78" i="3"/>
  <c r="C76" i="3"/>
  <c r="C77" i="3" s="1"/>
  <c r="C79" i="3" s="1"/>
  <c r="E69" i="3"/>
  <c r="C68" i="3"/>
  <c r="E45" i="3" s="1"/>
  <c r="D62" i="3"/>
  <c r="E62" i="3" s="1"/>
  <c r="D61" i="3"/>
  <c r="E61" i="3" s="1"/>
  <c r="C61" i="3"/>
  <c r="E60" i="3"/>
  <c r="E51" i="3"/>
  <c r="A51" i="3"/>
  <c r="E47" i="3"/>
  <c r="C171" i="3" s="1"/>
  <c r="E171" i="3" s="1"/>
  <c r="A47" i="3"/>
  <c r="E46" i="3"/>
  <c r="C170" i="3" s="1"/>
  <c r="E170" i="3" s="1"/>
  <c r="A46" i="3"/>
  <c r="A45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G276" i="2"/>
  <c r="E256" i="2"/>
  <c r="C254" i="2"/>
  <c r="E254" i="2" s="1"/>
  <c r="D255" i="2" s="1"/>
  <c r="E255" i="2" s="1"/>
  <c r="C252" i="2"/>
  <c r="E252" i="2" s="1"/>
  <c r="E253" i="2" s="1"/>
  <c r="E244" i="2"/>
  <c r="E243" i="2"/>
  <c r="E242" i="2"/>
  <c r="E241" i="2"/>
  <c r="E240" i="2"/>
  <c r="C240" i="2"/>
  <c r="C239" i="2"/>
  <c r="E239" i="2" s="1"/>
  <c r="E238" i="2"/>
  <c r="C238" i="2"/>
  <c r="E237" i="2"/>
  <c r="C237" i="2"/>
  <c r="C226" i="2"/>
  <c r="E226" i="2" s="1"/>
  <c r="E224" i="2"/>
  <c r="D213" i="2"/>
  <c r="D212" i="2"/>
  <c r="D210" i="2"/>
  <c r="E211" i="2" s="1"/>
  <c r="D208" i="2"/>
  <c r="D209" i="2" s="1"/>
  <c r="D206" i="2"/>
  <c r="D207" i="2" s="1"/>
  <c r="E205" i="2"/>
  <c r="E197" i="2"/>
  <c r="E194" i="2"/>
  <c r="E189" i="2"/>
  <c r="C188" i="2"/>
  <c r="E177" i="2"/>
  <c r="E173" i="2"/>
  <c r="C170" i="2"/>
  <c r="C169" i="2"/>
  <c r="C166" i="2"/>
  <c r="C182" i="2" s="1"/>
  <c r="C165" i="2"/>
  <c r="C164" i="2"/>
  <c r="H161" i="2"/>
  <c r="D166" i="2" s="1"/>
  <c r="D182" i="2" s="1"/>
  <c r="E161" i="2"/>
  <c r="D193" i="2" s="1"/>
  <c r="E151" i="2"/>
  <c r="E149" i="2"/>
  <c r="D148" i="2"/>
  <c r="E148" i="2" s="1"/>
  <c r="E147" i="2"/>
  <c r="D147" i="2"/>
  <c r="D146" i="2"/>
  <c r="E146" i="2" s="1"/>
  <c r="D145" i="2"/>
  <c r="E145" i="2" s="1"/>
  <c r="D144" i="2"/>
  <c r="E144" i="2" s="1"/>
  <c r="D143" i="2"/>
  <c r="E143" i="2" s="1"/>
  <c r="E138" i="2"/>
  <c r="E136" i="2"/>
  <c r="E135" i="2"/>
  <c r="E134" i="2"/>
  <c r="E133" i="2"/>
  <c r="E132" i="2"/>
  <c r="E131" i="2"/>
  <c r="E130" i="2"/>
  <c r="E129" i="2"/>
  <c r="E128" i="2"/>
  <c r="E127" i="2"/>
  <c r="E117" i="2"/>
  <c r="A116" i="2"/>
  <c r="A108" i="2"/>
  <c r="A115" i="2" s="1"/>
  <c r="A107" i="2"/>
  <c r="A114" i="2" s="1"/>
  <c r="C102" i="2"/>
  <c r="C101" i="2"/>
  <c r="E94" i="2"/>
  <c r="D86" i="2"/>
  <c r="E86" i="2" s="1"/>
  <c r="D85" i="2"/>
  <c r="C85" i="2"/>
  <c r="E83" i="2"/>
  <c r="E79" i="2"/>
  <c r="D71" i="2"/>
  <c r="E71" i="2" s="1"/>
  <c r="D70" i="2"/>
  <c r="C70" i="2"/>
  <c r="E68" i="2"/>
  <c r="D101" i="2" s="1"/>
  <c r="E101" i="2" s="1"/>
  <c r="E64" i="2"/>
  <c r="C100" i="2"/>
  <c r="D57" i="2"/>
  <c r="E57" i="2" s="1"/>
  <c r="D56" i="2"/>
  <c r="E56" i="2" s="1"/>
  <c r="C56" i="2"/>
  <c r="E55" i="2"/>
  <c r="D100" i="2" s="1"/>
  <c r="E46" i="2"/>
  <c r="A46" i="2"/>
  <c r="E42" i="2"/>
  <c r="C116" i="2" s="1"/>
  <c r="E116" i="2" s="1"/>
  <c r="A42" i="2"/>
  <c r="E41" i="2"/>
  <c r="C108" i="2" s="1"/>
  <c r="E108" i="2" s="1"/>
  <c r="A41" i="2"/>
  <c r="A40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8" i="2"/>
  <c r="A17" i="2"/>
  <c r="A16" i="2"/>
  <c r="E193" i="2" l="1"/>
  <c r="D196" i="2" s="1"/>
  <c r="E196" i="2" s="1"/>
  <c r="F197" i="2" s="1"/>
  <c r="E28" i="2" s="1"/>
  <c r="E155" i="3"/>
  <c r="D154" i="3"/>
  <c r="D163" i="3" s="1"/>
  <c r="D137" i="2"/>
  <c r="E137" i="2" s="1"/>
  <c r="D150" i="2"/>
  <c r="D227" i="2"/>
  <c r="E227" i="2" s="1"/>
  <c r="D228" i="2" s="1"/>
  <c r="E228" i="2" s="1"/>
  <c r="F229" i="2" s="1"/>
  <c r="E31" i="2" s="1"/>
  <c r="E122" i="3"/>
  <c r="D124" i="3" s="1"/>
  <c r="E124" i="3" s="1"/>
  <c r="E85" i="2"/>
  <c r="D87" i="2" s="1"/>
  <c r="E87" i="2" s="1"/>
  <c r="D280" i="3"/>
  <c r="E70" i="2"/>
  <c r="F256" i="2"/>
  <c r="F258" i="2" s="1"/>
  <c r="E33" i="2" s="1"/>
  <c r="D93" i="3"/>
  <c r="E93" i="3" s="1"/>
  <c r="F314" i="3"/>
  <c r="F316" i="3" s="1"/>
  <c r="E37" i="3" s="1"/>
  <c r="E100" i="2"/>
  <c r="E182" i="2"/>
  <c r="F245" i="2"/>
  <c r="F247" i="2" s="1"/>
  <c r="E32" i="2" s="1"/>
  <c r="D63" i="3"/>
  <c r="E63" i="3" s="1"/>
  <c r="C178" i="3"/>
  <c r="E178" i="3" s="1"/>
  <c r="C163" i="3"/>
  <c r="C177" i="3"/>
  <c r="E177" i="3" s="1"/>
  <c r="C162" i="3"/>
  <c r="C176" i="3"/>
  <c r="E176" i="3" s="1"/>
  <c r="C164" i="3"/>
  <c r="E164" i="3" s="1"/>
  <c r="E238" i="3"/>
  <c r="D239" i="3" s="1"/>
  <c r="E239" i="3" s="1"/>
  <c r="C111" i="3"/>
  <c r="E102" i="2"/>
  <c r="C169" i="3"/>
  <c r="E169" i="3" s="1"/>
  <c r="F172" i="3" s="1"/>
  <c r="E25" i="3" s="1"/>
  <c r="E48" i="3"/>
  <c r="C183" i="3"/>
  <c r="E183" i="3" s="1"/>
  <c r="C206" i="3"/>
  <c r="D283" i="3"/>
  <c r="D296" i="3"/>
  <c r="E296" i="3" s="1"/>
  <c r="D297" i="3" s="1"/>
  <c r="E297" i="3" s="1"/>
  <c r="F298" i="3" s="1"/>
  <c r="E36" i="3" s="1"/>
  <c r="C207" i="2"/>
  <c r="E207" i="2" s="1"/>
  <c r="C253" i="3"/>
  <c r="C254" i="3" s="1"/>
  <c r="D255" i="3" s="1"/>
  <c r="E255" i="3" s="1"/>
  <c r="D58" i="2"/>
  <c r="E58" i="2" s="1"/>
  <c r="E59" i="2" s="1"/>
  <c r="E60" i="2" s="1"/>
  <c r="C109" i="2"/>
  <c r="E109" i="2" s="1"/>
  <c r="E166" i="2"/>
  <c r="C213" i="2"/>
  <c r="E213" i="2" s="1"/>
  <c r="D246" i="3"/>
  <c r="E246" i="3" s="1"/>
  <c r="E274" i="3"/>
  <c r="E34" i="3" s="1"/>
  <c r="E230" i="3"/>
  <c r="D262" i="3" s="1"/>
  <c r="C179" i="2"/>
  <c r="C180" i="2" s="1"/>
  <c r="D181" i="2" s="1"/>
  <c r="E181" i="2" s="1"/>
  <c r="D102" i="2"/>
  <c r="C209" i="2"/>
  <c r="E209" i="2" s="1"/>
  <c r="C141" i="3"/>
  <c r="E195" i="3"/>
  <c r="D217" i="3"/>
  <c r="E217" i="3" s="1"/>
  <c r="D219" i="3" s="1"/>
  <c r="D164" i="2"/>
  <c r="E164" i="2" s="1"/>
  <c r="D165" i="2" s="1"/>
  <c r="E165" i="2" s="1"/>
  <c r="C219" i="2"/>
  <c r="E219" i="2" s="1"/>
  <c r="F220" i="2" s="1"/>
  <c r="E30" i="2" s="1"/>
  <c r="D110" i="3"/>
  <c r="E110" i="3" s="1"/>
  <c r="E196" i="3"/>
  <c r="D79" i="3"/>
  <c r="E79" i="3" s="1"/>
  <c r="C153" i="3"/>
  <c r="C184" i="3"/>
  <c r="E184" i="3" s="1"/>
  <c r="C115" i="2"/>
  <c r="E115" i="2" s="1"/>
  <c r="D153" i="3"/>
  <c r="D162" i="3" s="1"/>
  <c r="E197" i="3"/>
  <c r="C219" i="3"/>
  <c r="C150" i="2"/>
  <c r="C211" i="2"/>
  <c r="D211" i="2" s="1"/>
  <c r="C185" i="3"/>
  <c r="E185" i="3" s="1"/>
  <c r="E154" i="3" l="1"/>
  <c r="E163" i="3"/>
  <c r="F215" i="2"/>
  <c r="E29" i="2" s="1"/>
  <c r="E150" i="2"/>
  <c r="F151" i="2" s="1"/>
  <c r="E126" i="3"/>
  <c r="E127" i="3" s="1"/>
  <c r="D128" i="3" s="1"/>
  <c r="E128" i="3" s="1"/>
  <c r="E129" i="3" s="1"/>
  <c r="D130" i="3" s="1"/>
  <c r="E130" i="3" s="1"/>
  <c r="F131" i="3" s="1"/>
  <c r="E21" i="3" s="1"/>
  <c r="E64" i="3"/>
  <c r="E65" i="3" s="1"/>
  <c r="D66" i="3" s="1"/>
  <c r="E66" i="3" s="1"/>
  <c r="E67" i="3" s="1"/>
  <c r="D68" i="3" s="1"/>
  <c r="E68" i="3" s="1"/>
  <c r="F69" i="3" s="1"/>
  <c r="E17" i="3" s="1"/>
  <c r="E89" i="2"/>
  <c r="E90" i="2" s="1"/>
  <c r="D91" i="2" s="1"/>
  <c r="E91" i="2" s="1"/>
  <c r="E74" i="2"/>
  <c r="D72" i="2"/>
  <c r="E72" i="2" s="1"/>
  <c r="D61" i="2"/>
  <c r="E61" i="2" s="1"/>
  <c r="E62" i="2" s="1"/>
  <c r="D63" i="2" s="1"/>
  <c r="E63" i="2" s="1"/>
  <c r="F64" i="2" s="1"/>
  <c r="E17" i="2" s="1"/>
  <c r="C210" i="2"/>
  <c r="D214" i="2"/>
  <c r="F103" i="2"/>
  <c r="E20" i="2" s="1"/>
  <c r="F179" i="3"/>
  <c r="E26" i="3" s="1"/>
  <c r="D80" i="3"/>
  <c r="E80" i="3" s="1"/>
  <c r="E81" i="3" s="1"/>
  <c r="E162" i="3"/>
  <c r="C184" i="2"/>
  <c r="C185" i="2" s="1"/>
  <c r="D186" i="2" s="1"/>
  <c r="E186" i="2" s="1"/>
  <c r="E187" i="2" s="1"/>
  <c r="D188" i="2" s="1"/>
  <c r="E169" i="2"/>
  <c r="D170" i="2" s="1"/>
  <c r="E170" i="2" s="1"/>
  <c r="E171" i="2" s="1"/>
  <c r="D172" i="2" s="1"/>
  <c r="D206" i="3"/>
  <c r="E206" i="3" s="1"/>
  <c r="F207" i="3" s="1"/>
  <c r="E95" i="3"/>
  <c r="E96" i="3" s="1"/>
  <c r="E219" i="3"/>
  <c r="F220" i="3" s="1"/>
  <c r="C142" i="3"/>
  <c r="E141" i="3"/>
  <c r="E153" i="3"/>
  <c r="C114" i="2"/>
  <c r="E114" i="2" s="1"/>
  <c r="F117" i="2" s="1"/>
  <c r="C107" i="2"/>
  <c r="E107" i="2" s="1"/>
  <c r="F110" i="2" s="1"/>
  <c r="E21" i="2" s="1"/>
  <c r="E43" i="2"/>
  <c r="C137" i="2"/>
  <c r="F138" i="2" s="1"/>
  <c r="D111" i="3"/>
  <c r="E111" i="3" s="1"/>
  <c r="E112" i="3" s="1"/>
  <c r="E262" i="3"/>
  <c r="D265" i="3" s="1"/>
  <c r="D233" i="3"/>
  <c r="E233" i="3" s="1"/>
  <c r="D234" i="3" s="1"/>
  <c r="E234" i="3" s="1"/>
  <c r="E240" i="3" s="1"/>
  <c r="D241" i="3" s="1"/>
  <c r="E241" i="3" s="1"/>
  <c r="F242" i="3" s="1"/>
  <c r="C248" i="3"/>
  <c r="C249" i="3" s="1"/>
  <c r="D250" i="3" s="1"/>
  <c r="E250" i="3" s="1"/>
  <c r="E256" i="3" s="1"/>
  <c r="D257" i="3" s="1"/>
  <c r="E257" i="3" s="1"/>
  <c r="F258" i="3" s="1"/>
  <c r="E32" i="3" s="1"/>
  <c r="F186" i="3"/>
  <c r="E265" i="3" l="1"/>
  <c r="F266" i="3" s="1"/>
  <c r="F301" i="3" s="1"/>
  <c r="E29" i="3" s="1"/>
  <c r="E172" i="2"/>
  <c r="F173" i="2" s="1"/>
  <c r="E188" i="2"/>
  <c r="F189" i="2" s="1"/>
  <c r="E27" i="2" s="1"/>
  <c r="F156" i="3"/>
  <c r="E23" i="3" s="1"/>
  <c r="F165" i="3"/>
  <c r="E24" i="3" s="1"/>
  <c r="F153" i="2"/>
  <c r="E23" i="2" s="1"/>
  <c r="F222" i="3"/>
  <c r="E28" i="3" s="1"/>
  <c r="E92" i="2"/>
  <c r="D93" i="2" s="1"/>
  <c r="E93" i="2" s="1"/>
  <c r="F94" i="2" s="1"/>
  <c r="E19" i="2" s="1"/>
  <c r="E75" i="2"/>
  <c r="D76" i="2" s="1"/>
  <c r="E76" i="2" s="1"/>
  <c r="E77" i="2" s="1"/>
  <c r="D78" i="2" s="1"/>
  <c r="E78" i="2" s="1"/>
  <c r="F79" i="2" s="1"/>
  <c r="E18" i="2" s="1"/>
  <c r="D82" i="3"/>
  <c r="E82" i="3" s="1"/>
  <c r="E83" i="3" s="1"/>
  <c r="D84" i="3" s="1"/>
  <c r="E84" i="3" s="1"/>
  <c r="F85" i="3" s="1"/>
  <c r="E18" i="3" s="1"/>
  <c r="D97" i="3"/>
  <c r="E97" i="3" s="1"/>
  <c r="E98" i="3" s="1"/>
  <c r="D99" i="3" s="1"/>
  <c r="E99" i="3" s="1"/>
  <c r="F100" i="3" s="1"/>
  <c r="E19" i="3" s="1"/>
  <c r="D113" i="3"/>
  <c r="E113" i="3" s="1"/>
  <c r="E114" i="3" s="1"/>
  <c r="D115" i="3" s="1"/>
  <c r="E115" i="3" s="1"/>
  <c r="F116" i="3" s="1"/>
  <c r="E20" i="3" s="1"/>
  <c r="E22" i="2"/>
  <c r="E31" i="3"/>
  <c r="D142" i="3"/>
  <c r="E142" i="3" s="1"/>
  <c r="E143" i="3" s="1"/>
  <c r="E27" i="3"/>
  <c r="E33" i="3" l="1"/>
  <c r="E30" i="3" s="1"/>
  <c r="E24" i="2"/>
  <c r="E26" i="2"/>
  <c r="E25" i="2" s="1"/>
  <c r="F119" i="2"/>
  <c r="D144" i="3"/>
  <c r="E144" i="3" s="1"/>
  <c r="E145" i="3" s="1"/>
  <c r="D146" i="3" s="1"/>
  <c r="E146" i="3" s="1"/>
  <c r="F147" i="3" s="1"/>
  <c r="E16" i="2" l="1"/>
  <c r="F260" i="2"/>
  <c r="D265" i="2" s="1"/>
  <c r="E265" i="2" s="1"/>
  <c r="F266" i="2" s="1"/>
  <c r="F268" i="2" s="1"/>
  <c r="E22" i="3"/>
  <c r="F188" i="3"/>
  <c r="F329" i="3" s="1"/>
  <c r="E34" i="2" l="1"/>
  <c r="E35" i="2" s="1"/>
  <c r="E16" i="3"/>
  <c r="F20" i="2" l="1"/>
  <c r="F32" i="2"/>
  <c r="F21" i="2"/>
  <c r="F33" i="2"/>
  <c r="F22" i="2"/>
  <c r="F24" i="2"/>
  <c r="F25" i="2"/>
  <c r="F19" i="2"/>
  <c r="F26" i="2"/>
  <c r="F27" i="2"/>
  <c r="F28" i="2"/>
  <c r="F17" i="2"/>
  <c r="F29" i="2"/>
  <c r="F18" i="2"/>
  <c r="F30" i="2"/>
  <c r="F31" i="2"/>
  <c r="F23" i="2"/>
  <c r="F34" i="2"/>
  <c r="F276" i="2"/>
  <c r="G3" i="1"/>
  <c r="H3" i="1" s="1"/>
  <c r="G272" i="2"/>
  <c r="D334" i="3"/>
  <c r="E334" i="3" s="1"/>
  <c r="F335" i="3" s="1"/>
  <c r="F337" i="3" s="1"/>
  <c r="F16" i="2"/>
  <c r="E39" i="3" l="1"/>
  <c r="E40" i="3" s="1"/>
  <c r="F38" i="3" s="1"/>
  <c r="F35" i="2"/>
  <c r="F3" i="1"/>
  <c r="G277" i="2"/>
  <c r="F30" i="3" l="1"/>
  <c r="F23" i="3"/>
  <c r="F18" i="3"/>
  <c r="F28" i="3"/>
  <c r="F24" i="3"/>
  <c r="F37" i="3"/>
  <c r="F22" i="3"/>
  <c r="F27" i="3"/>
  <c r="F34" i="3"/>
  <c r="F33" i="3"/>
  <c r="F19" i="3"/>
  <c r="F20" i="3"/>
  <c r="F31" i="3"/>
  <c r="F25" i="3"/>
  <c r="F16" i="3"/>
  <c r="F32" i="3"/>
  <c r="F17" i="3"/>
  <c r="F29" i="3"/>
  <c r="F36" i="3"/>
  <c r="F21" i="3"/>
  <c r="F35" i="3"/>
  <c r="F39" i="3"/>
  <c r="F26" i="3"/>
  <c r="G2" i="1"/>
  <c r="H2" i="1" s="1"/>
  <c r="H4" i="1" s="1"/>
  <c r="F345" i="3"/>
  <c r="G341" i="3"/>
  <c r="F40" i="3" l="1"/>
  <c r="G346" i="3"/>
  <c r="F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 desconhecido</author>
  </authors>
  <commentList>
    <comment ref="A14" authorId="0" shapeId="0" xr:uid="{00000000-0006-0000-0100-000001000000}">
      <text>
        <r>
          <rPr>
            <sz val="10"/>
            <rFont val="Arial"/>
            <family val="2"/>
          </rPr>
          <t xml:space="preserve">Qualquer custo previsto no edital e não contemplado nesta planilha modelo deverá ser devidamente incluído
</t>
        </r>
      </text>
    </comment>
    <comment ref="B49" authorId="0" shapeId="0" xr:uid="{00000000-0006-0000-0100-000006000000}">
      <text>
        <r>
          <rPr>
            <sz val="10"/>
            <rFont val="Arial"/>
            <family val="2"/>
          </rPr>
          <t xml:space="preserve">Informar o fator de utilização das equipes de coleta. 
Por exemplo:
Equipes com utilização integral = 100%
Equipes com utilização parcial = n° horas trabalhadas por semana /44 horas
</t>
        </r>
      </text>
    </comment>
    <comment ref="D55" authorId="0" shapeId="0" xr:uid="{00000000-0006-0000-0100-00003F000000}">
      <text>
        <r>
          <rPr>
            <sz val="10"/>
            <rFont val="Arial"/>
            <family val="2"/>
          </rPr>
          <t>Informar o Piso da categoria fixado na Convenção Coletiva</t>
        </r>
      </text>
    </comment>
    <comment ref="C56" authorId="0" shapeId="0" xr:uid="{00000000-0006-0000-0100-000008000000}">
      <text>
        <r>
          <rPr>
            <sz val="10"/>
            <rFont val="Arial"/>
            <family val="2"/>
          </rPr>
          <t xml:space="preserve">Informar o número de horas extras trabalhadas nos domingos e feriados em horário diurno
</t>
        </r>
      </text>
    </comment>
    <comment ref="C57" authorId="0" shapeId="0" xr:uid="{00000000-0006-0000-0100-000009000000}">
      <text>
        <r>
          <rPr>
            <sz val="10"/>
            <rFont val="Arial"/>
            <family val="2"/>
          </rPr>
          <t xml:space="preserve">Informar o número de horas extras trabalhadas em horário diurno de segunda a sábado 
</t>
        </r>
      </text>
    </comment>
    <comment ref="A58" authorId="0" shapeId="0" xr:uid="{00000000-0006-0000-0100-000002000000}">
      <text>
        <r>
          <rPr>
            <sz val="10"/>
            <rFont val="Arial"/>
            <family val="2"/>
          </rPr>
          <t xml:space="preserve">Cálculo do descanso semanal remunerado incidente sobre as horas extras habitualmente prestadas. Considerada a média de 63 feriados + domingos e 302 dias trabalhados por ano
</t>
        </r>
      </text>
    </comment>
    <comment ref="C61" authorId="0" shapeId="0" xr:uid="{00000000-0006-0000-0100-00000A000000}">
      <text>
        <r>
          <rPr>
            <sz val="10"/>
            <rFont val="Arial"/>
            <family val="2"/>
          </rPr>
          <t xml:space="preserve">Preencher a planilha Encargos Sociais e CAGED </t>
        </r>
      </text>
    </comment>
    <comment ref="C63" authorId="0" shapeId="0" xr:uid="{00000000-0006-0000-0100-00000B000000}">
      <text>
        <r>
          <rPr>
            <sz val="10"/>
            <rFont val="Arial"/>
            <family val="2"/>
          </rPr>
          <t>Informar a quantidade de trabalhadores na função</t>
        </r>
      </text>
    </comment>
    <comment ref="D68" authorId="0" shapeId="0" xr:uid="{00000000-0006-0000-0100-000040000000}">
      <text>
        <r>
          <rPr>
            <sz val="10"/>
            <rFont val="Arial"/>
            <family val="2"/>
          </rPr>
          <t>Informar o Piso da categoria fixado na Convenção Coletiva</t>
        </r>
      </text>
    </comment>
    <comment ref="D69" authorId="0" shapeId="0" xr:uid="{00000000-0006-0000-0100-000041000000}">
      <text>
        <r>
          <rPr>
            <sz val="10"/>
            <rFont val="Arial"/>
            <family val="2"/>
          </rPr>
          <t>Informar o valor do salário Mínimo Nacional</t>
        </r>
      </text>
    </comment>
    <comment ref="C70" authorId="0" shapeId="0" xr:uid="{00000000-0006-0000-0100-00000C000000}">
      <text>
        <r>
          <rPr>
            <sz val="10"/>
            <rFont val="Arial"/>
            <family val="2"/>
          </rPr>
          <t xml:space="preserve">Informar o número de horas extras trabalhadas nos domingos e feriados em horário diurno
</t>
        </r>
      </text>
    </comment>
    <comment ref="C71" authorId="0" shapeId="0" xr:uid="{00000000-0006-0000-0100-00000D000000}">
      <text>
        <r>
          <rPr>
            <sz val="10"/>
            <rFont val="Arial"/>
            <family val="2"/>
          </rPr>
          <t xml:space="preserve">Informar o número de horas extras trabalhadas em horário diurno de segunda a sábado 
</t>
        </r>
      </text>
    </comment>
    <comment ref="A72" authorId="0" shapeId="0" xr:uid="{00000000-0006-0000-0100-000003000000}">
      <text>
        <r>
          <rPr>
            <sz val="10"/>
            <rFont val="Arial"/>
            <family val="2"/>
          </rPr>
          <t xml:space="preserve">Cálculo do descanso semanal remunerado incidente sobre as horas extras habitualmente prestadas. Considerada a média de 63 feriados + domingos e 302 dias trabalhados por ano
</t>
        </r>
      </text>
    </comment>
    <comment ref="C73" authorId="0" shapeId="0" xr:uid="{00000000-0006-0000-0100-00000E000000}">
      <text>
        <r>
          <rPr>
            <sz val="10"/>
            <rFont val="Arial"/>
            <family val="2"/>
          </rPr>
          <t xml:space="preserve">Informar 1 se a base de cálculo for o Salário Mínimo Nacional; Informar 2 se a base de cálculo for o Piso da Categoria; 
</t>
        </r>
      </text>
    </comment>
    <comment ref="C74" authorId="0" shapeId="0" xr:uid="{00000000-0006-0000-0100-00000F000000}">
      <text>
        <r>
          <rPr>
            <sz val="10"/>
            <rFont val="Arial"/>
            <family val="2"/>
          </rPr>
          <t>Percentual estabelecido nas Normas de Segurança de Trabalho ou pelo laudo de responsável técnico devidamente habilitado</t>
        </r>
      </text>
    </comment>
    <comment ref="C76" authorId="0" shapeId="0" xr:uid="{00000000-0006-0000-0100-000010000000}">
      <text>
        <r>
          <rPr>
            <sz val="10"/>
            <rFont val="Arial"/>
            <family val="2"/>
          </rPr>
          <t xml:space="preserve">Preencher a planilha Encargos Sociais e CAGED </t>
        </r>
      </text>
    </comment>
    <comment ref="C78" authorId="0" shapeId="0" xr:uid="{00000000-0006-0000-0100-000011000000}">
      <text>
        <r>
          <rPr>
            <sz val="10"/>
            <rFont val="Arial"/>
            <family val="2"/>
          </rPr>
          <t>Informar a quantidade de trabalhadores na função</t>
        </r>
      </text>
    </comment>
    <comment ref="D83" authorId="0" shapeId="0" xr:uid="{00000000-0006-0000-0100-000042000000}">
      <text>
        <r>
          <rPr>
            <sz val="10"/>
            <rFont val="Arial"/>
            <family val="2"/>
          </rPr>
          <t>Informar o Piso da categoria fixado na Convenção Coletiva</t>
        </r>
      </text>
    </comment>
    <comment ref="D84" authorId="0" shapeId="0" xr:uid="{00000000-0006-0000-0100-000043000000}">
      <text>
        <r>
          <rPr>
            <sz val="10"/>
            <rFont val="Arial"/>
            <family val="2"/>
          </rPr>
          <t>Informar o valor do salário Mínimo Nacional</t>
        </r>
      </text>
    </comment>
    <comment ref="C85" authorId="0" shapeId="0" xr:uid="{00000000-0006-0000-0100-000012000000}">
      <text>
        <r>
          <rPr>
            <sz val="10"/>
            <rFont val="Arial"/>
            <family val="2"/>
          </rPr>
          <t>Informar o número de horas extras trabalhadas em horário diurno nos domingos e feriados</t>
        </r>
      </text>
    </comment>
    <comment ref="C86" authorId="0" shapeId="0" xr:uid="{00000000-0006-0000-0100-000013000000}">
      <text>
        <r>
          <rPr>
            <sz val="10"/>
            <rFont val="Arial"/>
            <family val="2"/>
          </rPr>
          <t xml:space="preserve">Informar o número de horas extras trabalhadas em horário diurno de segunda a sábado 
</t>
        </r>
      </text>
    </comment>
    <comment ref="A87" authorId="0" shapeId="0" xr:uid="{00000000-0006-0000-0100-000004000000}">
      <text>
        <r>
          <rPr>
            <sz val="10"/>
            <rFont val="Arial"/>
            <family val="2"/>
          </rPr>
          <t xml:space="preserve">Cálculo do descanso semanal remunerado incidente sobre as horas extras habitualmente prestadas. Considerada a média de 63 feriados + domingos e 302 dias trabalhados por ano
</t>
        </r>
      </text>
    </comment>
    <comment ref="C88" authorId="0" shapeId="0" xr:uid="{00000000-0006-0000-0100-000014000000}">
      <text>
        <r>
          <rPr>
            <sz val="10"/>
            <rFont val="Arial"/>
            <family val="2"/>
          </rPr>
          <t xml:space="preserve">Informar 1 se a base de cálculo for o Salário Mínimo Nacional; Informar 2 se a base de cálculo for o Piso da Categoria; 
</t>
        </r>
      </text>
    </comment>
    <comment ref="C89" authorId="0" shapeId="0" xr:uid="{00000000-0006-0000-0100-000015000000}">
      <text>
        <r>
          <rPr>
            <sz val="10"/>
            <rFont val="Arial"/>
            <family val="2"/>
          </rPr>
          <t>Percentual estabelecido nas Normas de Segurança de Trabalho ou pelo laudo de responsável técnico devidamente habilitado</t>
        </r>
      </text>
    </comment>
    <comment ref="C91" authorId="0" shapeId="0" xr:uid="{00000000-0006-0000-0100-000016000000}">
      <text>
        <r>
          <rPr>
            <sz val="10"/>
            <rFont val="Arial"/>
            <family val="2"/>
          </rPr>
          <t xml:space="preserve">Preencher a planilha Encargos Sociais e CAGED </t>
        </r>
      </text>
    </comment>
    <comment ref="C93" authorId="0" shapeId="0" xr:uid="{00000000-0006-0000-0100-000017000000}">
      <text>
        <r>
          <rPr>
            <sz val="10"/>
            <rFont val="Arial"/>
            <family val="2"/>
          </rPr>
          <t>Informar a quantidade de trabalhadores na função</t>
        </r>
      </text>
    </comment>
    <comment ref="D98" authorId="0" shapeId="0" xr:uid="{00000000-0006-0000-0100-000044000000}">
      <text>
        <r>
          <rPr>
            <sz val="10"/>
            <rFont val="Arial"/>
            <family val="2"/>
          </rPr>
          <t>Informar o valor unitário do VT no município</t>
        </r>
      </text>
    </comment>
    <comment ref="C99" authorId="0" shapeId="0" xr:uid="{00000000-0006-0000-0100-000018000000}">
      <text>
        <r>
          <rPr>
            <sz val="10"/>
            <rFont val="Arial"/>
            <family val="2"/>
          </rPr>
          <t>Informar o número médio de dias trabalhados por mês</t>
        </r>
      </text>
    </comment>
    <comment ref="D100" authorId="0" shapeId="0" xr:uid="{00000000-0006-0000-0100-000045000000}">
      <text>
        <r>
          <rPr>
            <sz val="10"/>
            <rFont val="Arial"/>
            <family val="2"/>
          </rPr>
          <t>Valor Unitário considerando o desconto legal de até 6% do salário</t>
        </r>
      </text>
    </comment>
    <comment ref="D101" authorId="0" shapeId="0" xr:uid="{00000000-0006-0000-0100-000046000000}">
      <text>
        <r>
          <rPr>
            <sz val="10"/>
            <rFont val="Arial"/>
            <family val="2"/>
          </rPr>
          <t xml:space="preserve">Valor Unitário considerando o desconto legal de até 6% do salário
</t>
        </r>
      </text>
    </comment>
    <comment ref="D102" authorId="0" shapeId="0" xr:uid="{00000000-0006-0000-0100-000047000000}">
      <text>
        <r>
          <rPr>
            <sz val="10"/>
            <rFont val="Arial"/>
            <family val="2"/>
          </rPr>
          <t xml:space="preserve">Valor Unitário considerando o desconto legal de até 6% do salário
</t>
        </r>
      </text>
    </comment>
    <comment ref="D107" authorId="0" shapeId="0" xr:uid="{00000000-0006-0000-0100-000048000000}">
      <text>
        <r>
          <rPr>
            <sz val="10"/>
            <rFont val="Arial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08" authorId="0" shapeId="0" xr:uid="{00000000-0006-0000-0100-000049000000}">
      <text>
        <r>
          <rPr>
            <sz val="10"/>
            <rFont val="Arial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09" authorId="0" shapeId="0" xr:uid="{00000000-0006-0000-0100-00004A000000}">
      <text>
        <r>
          <rPr>
            <sz val="10"/>
            <rFont val="Arial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14" authorId="0" shapeId="0" xr:uid="{00000000-0006-0000-0100-00004B000000}">
      <text>
        <r>
          <rPr>
            <sz val="10"/>
            <rFont val="Arial"/>
            <family val="2"/>
          </rPr>
          <t>Informar o valor mensal do auxilio alimentação, considerando o desconto aplicável ao funcionário, conforme Convenção Coletiva da categoria</t>
        </r>
      </text>
    </comment>
    <comment ref="D115" authorId="0" shapeId="0" xr:uid="{00000000-0006-0000-0100-00004C000000}">
      <text>
        <r>
          <rPr>
            <sz val="10"/>
            <rFont val="Arial"/>
            <family val="2"/>
          </rPr>
          <t>Informar o valor mensal do auxilio alimentação, considerando o desconto aplicável ao funcionário, conforme Convenção Coletiva da categoria</t>
        </r>
      </text>
    </comment>
    <comment ref="D116" authorId="0" shapeId="0" xr:uid="{00000000-0006-0000-0100-00004D000000}">
      <text>
        <r>
          <rPr>
            <sz val="10"/>
            <rFont val="Arial"/>
            <family val="2"/>
          </rPr>
          <t>Informar o valor mensal do auxilio alimentação, considerando o desconto aplicável ao funcionário, conforme Convenção Coletiva da categoria</t>
        </r>
      </text>
    </comment>
    <comment ref="C126" authorId="0" shapeId="0" xr:uid="{00000000-0006-0000-0100-000019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26" authorId="0" shapeId="0" xr:uid="{00000000-0006-0000-0100-00004E000000}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27" authorId="0" shapeId="0" xr:uid="{00000000-0006-0000-0100-00001A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27" authorId="0" shapeId="0" xr:uid="{00000000-0006-0000-0100-00004F000000}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28" authorId="0" shapeId="0" xr:uid="{00000000-0006-0000-0100-00001B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28" authorId="0" shapeId="0" xr:uid="{00000000-0006-0000-0100-000050000000}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29" authorId="0" shapeId="0" xr:uid="{00000000-0006-0000-0100-00001C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29" authorId="0" shapeId="0" xr:uid="{00000000-0006-0000-0100-000051000000}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30" authorId="0" shapeId="0" xr:uid="{00000000-0006-0000-0100-00001D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30" authorId="0" shapeId="0" xr:uid="{00000000-0006-0000-0100-000052000000}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31" authorId="0" shapeId="0" xr:uid="{00000000-0006-0000-0100-00001E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31" authorId="0" shapeId="0" xr:uid="{00000000-0006-0000-0100-000053000000}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32" authorId="0" shapeId="0" xr:uid="{00000000-0006-0000-0100-00001F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32" authorId="0" shapeId="0" xr:uid="{00000000-0006-0000-0100-000054000000}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33" authorId="0" shapeId="0" xr:uid="{00000000-0006-0000-0100-000020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33" authorId="0" shapeId="0" xr:uid="{00000000-0006-0000-0100-000055000000}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34" authorId="0" shapeId="0" xr:uid="{00000000-0006-0000-0100-000021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34" authorId="0" shapeId="0" xr:uid="{00000000-0006-0000-0100-000056000000}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35" authorId="0" shapeId="0" xr:uid="{00000000-0006-0000-0100-000022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35" authorId="0" shapeId="0" xr:uid="{00000000-0006-0000-0100-000057000000}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D136" authorId="0" shapeId="0" xr:uid="{00000000-0006-0000-0100-000058000000}">
      <text>
        <r>
          <rPr>
            <sz val="10"/>
            <rFont val="Arial"/>
            <family val="2"/>
          </rPr>
          <t>Informar o valor mensal de higienização de uniforme para 1 funcionário</t>
        </r>
      </text>
    </comment>
    <comment ref="C143" authorId="0" shapeId="0" xr:uid="{00000000-0006-0000-0100-000023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C144" authorId="0" shapeId="0" xr:uid="{00000000-0006-0000-0100-000024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C145" authorId="0" shapeId="0" xr:uid="{00000000-0006-0000-0100-000025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C146" authorId="0" shapeId="0" xr:uid="{00000000-0006-0000-0100-000026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C147" authorId="0" shapeId="0" xr:uid="{00000000-0006-0000-0100-000027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C148" authorId="0" shapeId="0" xr:uid="{00000000-0006-0000-0100-000028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49" authorId="0" shapeId="0" xr:uid="{00000000-0006-0000-0100-000059000000}">
      <text>
        <r>
          <rPr>
            <sz val="10"/>
            <rFont val="Arial"/>
            <family val="2"/>
          </rPr>
          <t>Informar o valor mensal de higienização de uniforme para 1 funcionário</t>
        </r>
      </text>
    </comment>
    <comment ref="D161" authorId="0" shapeId="0" xr:uid="{00000000-0006-0000-0100-00005A000000}">
      <text>
        <r>
          <rPr>
            <sz val="10"/>
            <rFont val="Arial"/>
            <family val="2"/>
          </rPr>
          <t>Informar o preço unitário do chassis do caminhão de coleta</t>
        </r>
      </text>
    </comment>
    <comment ref="C162" authorId="0" shapeId="0" xr:uid="{00000000-0006-0000-0100-000029000000}">
      <text>
        <r>
          <rPr>
            <sz val="10"/>
            <rFont val="Arial"/>
            <family val="2"/>
          </rPr>
          <t>Informar a vida útil estimada para o caminhão, em anos</t>
        </r>
      </text>
    </comment>
    <comment ref="C163" authorId="0" shapeId="0" xr:uid="{00000000-0006-0000-0100-00002A000000}">
      <text>
        <r>
          <rPr>
            <sz val="10"/>
            <rFont val="Arial"/>
            <family val="2"/>
          </rPr>
          <t>Na elaboração do orçamento-base da licitação, informar 0 (zero). Na proposta da licitante, informar a idade do veículo proposto.</t>
        </r>
      </text>
    </comment>
    <comment ref="C164" authorId="0" shapeId="0" xr:uid="{00000000-0006-0000-0100-00002B000000}">
      <text>
        <r>
          <rPr>
            <sz val="10"/>
            <rFont val="Arial"/>
            <family val="2"/>
          </rPr>
          <t xml:space="preserve">Informar o valor da depreciação do caminhão, adotando o valor sugerido pelo TCE ou outro valor estimado 
</t>
        </r>
      </text>
    </comment>
    <comment ref="D166" authorId="0" shapeId="0" xr:uid="{00000000-0006-0000-0100-00005B000000}">
      <text>
        <r>
          <rPr>
            <sz val="10"/>
            <rFont val="Arial"/>
            <family val="2"/>
          </rPr>
          <t xml:space="preserve">Informar o preço unitário do equipamento compactador
</t>
        </r>
      </text>
    </comment>
    <comment ref="C167" authorId="0" shapeId="0" xr:uid="{00000000-0006-0000-0100-00002C000000}">
      <text>
        <r>
          <rPr>
            <sz val="10"/>
            <rFont val="Arial"/>
            <family val="2"/>
          </rPr>
          <t>Informar a vida útil estimada para o compactador, em anos</t>
        </r>
      </text>
    </comment>
    <comment ref="C168" authorId="0" shapeId="0" xr:uid="{00000000-0006-0000-0100-00002D000000}">
      <text>
        <r>
          <rPr>
            <sz val="10"/>
            <rFont val="Arial"/>
            <family val="2"/>
          </rPr>
          <t>Na elaboração do orçamento-base da licitação, informar 0 (zero). Na proposta da licitante, informar a idade do compactador proposto.</t>
        </r>
      </text>
    </comment>
    <comment ref="C169" authorId="0" shapeId="0" xr:uid="{00000000-0006-0000-0100-00002E000000}">
      <text>
        <r>
          <rPr>
            <sz val="10"/>
            <rFont val="Arial"/>
            <family val="2"/>
          </rPr>
          <t xml:space="preserve">Informar o valor da depreciação do compactador, adotando o valor sugerido pelo TCE ou outro valor estimado 
</t>
        </r>
      </text>
    </comment>
    <comment ref="C172" authorId="0" shapeId="0" xr:uid="{00000000-0006-0000-0100-00002F000000}">
      <text>
        <r>
          <rPr>
            <sz val="10"/>
            <rFont val="Arial"/>
            <family val="2"/>
          </rPr>
          <t>Informar a quantidade de caminhões compactadores do respectivo modelo</t>
        </r>
      </text>
    </comment>
    <comment ref="C178" authorId="0" shapeId="0" xr:uid="{00000000-0006-0000-0100-000030000000}">
      <text>
        <r>
          <rPr>
            <sz val="10"/>
            <rFont val="Arial"/>
            <family val="2"/>
          </rPr>
          <t xml:space="preserve">Informar a taxa de juros anual para remuneração do capital. Recomenda-se o uso da Taxa SELIC
</t>
        </r>
      </text>
    </comment>
    <comment ref="D194" authorId="0" shapeId="0" xr:uid="{00000000-0006-0000-0100-00005C000000}">
      <text>
        <r>
          <rPr>
            <sz val="10"/>
            <rFont val="Arial"/>
            <family val="2"/>
          </rPr>
          <t xml:space="preserve">Informar o valor do seguro obrigatório e licenciamento anual de um caminhão
</t>
        </r>
      </text>
    </comment>
    <comment ref="D195" authorId="0" shapeId="0" xr:uid="{00000000-0006-0000-0100-00005D000000}">
      <text>
        <r>
          <rPr>
            <sz val="10"/>
            <rFont val="Arial"/>
            <family val="2"/>
          </rPr>
          <t xml:space="preserve">Informar o valor do seguro contra terceiros de um caminhão, se houver previsão no Projeto Básico
</t>
        </r>
      </text>
    </comment>
    <comment ref="B201" authorId="0" shapeId="0" xr:uid="{00000000-0006-0000-0100-000007000000}">
      <text>
        <r>
          <rPr>
            <sz val="10"/>
            <rFont val="Arial"/>
            <family val="2"/>
          </rPr>
          <t xml:space="preserve">Informar a quilometragem mensal percorrida, de acordo com o projeto básico
</t>
        </r>
      </text>
    </comment>
    <comment ref="C204" authorId="0" shapeId="0" xr:uid="{00000000-0006-0000-0100-000031000000}">
      <text>
        <r>
          <rPr>
            <sz val="10"/>
            <rFont val="Arial"/>
            <family val="2"/>
          </rPr>
          <t>Informar o consumo estimado do veículo em km/l</t>
        </r>
      </text>
    </comment>
    <comment ref="D204" authorId="0" shapeId="0" xr:uid="{00000000-0006-0000-0100-00005E000000}">
      <text>
        <r>
          <rPr>
            <sz val="10"/>
            <rFont val="Arial"/>
            <family val="2"/>
          </rPr>
          <t xml:space="preserve">Informar o preço unitário do combustivel
</t>
        </r>
      </text>
    </comment>
    <comment ref="C206" authorId="0" shapeId="0" xr:uid="{00000000-0006-0000-0100-000032000000}">
      <text>
        <r>
          <rPr>
            <sz val="10"/>
            <rFont val="Arial"/>
            <family val="2"/>
          </rPr>
          <t>Informar o consumo de óleo do motor a cada 1000km</t>
        </r>
      </text>
    </comment>
    <comment ref="D206" authorId="0" shapeId="0" xr:uid="{00000000-0006-0000-0100-00005F000000}">
      <text>
        <r>
          <rPr>
            <sz val="10"/>
            <rFont val="Arial"/>
            <family val="2"/>
          </rPr>
          <t xml:space="preserve">Informar o preço unitário do litro do óleo do motor
</t>
        </r>
      </text>
    </comment>
    <comment ref="C208" authorId="0" shapeId="0" xr:uid="{00000000-0006-0000-0100-000033000000}">
      <text>
        <r>
          <rPr>
            <sz val="10"/>
            <rFont val="Arial"/>
            <family val="2"/>
          </rPr>
          <t>Informar o consumo de óleo da transmissão a cada 1000km</t>
        </r>
      </text>
    </comment>
    <comment ref="D208" authorId="0" shapeId="0" xr:uid="{00000000-0006-0000-0100-000060000000}">
      <text>
        <r>
          <rPr>
            <sz val="10"/>
            <rFont val="Arial"/>
            <family val="2"/>
          </rPr>
          <t xml:space="preserve">Informar o preço unitário do litro do óleo da transmissão
</t>
        </r>
      </text>
    </comment>
    <comment ref="C210" authorId="0" shapeId="0" xr:uid="{00000000-0006-0000-0100-000034000000}">
      <text>
        <r>
          <rPr>
            <sz val="10"/>
            <rFont val="Arial"/>
            <family val="2"/>
          </rPr>
          <t>Informar o consumo de óleo hidráulico a cada 1000km</t>
        </r>
      </text>
    </comment>
    <comment ref="D210" authorId="0" shapeId="0" xr:uid="{00000000-0006-0000-0100-000061000000}">
      <text>
        <r>
          <rPr>
            <sz val="10"/>
            <rFont val="Arial"/>
            <family val="2"/>
          </rPr>
          <t xml:space="preserve">Informar o preço unitário do litro do óleo hidráulico
</t>
        </r>
      </text>
    </comment>
    <comment ref="C212" authorId="0" shapeId="0" xr:uid="{00000000-0006-0000-0100-000035000000}">
      <text>
        <r>
          <rPr>
            <sz val="10"/>
            <rFont val="Arial"/>
            <family val="2"/>
          </rPr>
          <t>Informar o consumo de graxa a cada 1000km</t>
        </r>
      </text>
    </comment>
    <comment ref="D212" authorId="0" shapeId="0" xr:uid="{00000000-0006-0000-0100-000062000000}">
      <text>
        <r>
          <rPr>
            <sz val="10"/>
            <rFont val="Arial"/>
            <family val="2"/>
          </rPr>
          <t xml:space="preserve">Informar o preço unitário do litro da graxa
</t>
        </r>
      </text>
    </comment>
    <comment ref="D219" authorId="0" shapeId="0" xr:uid="{00000000-0006-0000-0100-000063000000}">
      <text>
        <r>
          <rPr>
            <sz val="10"/>
            <rFont val="Arial"/>
            <family val="2"/>
          </rPr>
          <t xml:space="preserve">Informar o custo de manutenção em R$/km rodado
</t>
        </r>
      </text>
    </comment>
    <comment ref="C224" authorId="0" shapeId="0" xr:uid="{00000000-0006-0000-0100-000036000000}">
      <text>
        <r>
          <rPr>
            <sz val="10"/>
            <rFont val="Arial"/>
            <family val="2"/>
          </rPr>
          <t>Informar a quantidade de pneus novos de 1 caminhão</t>
        </r>
      </text>
    </comment>
    <comment ref="D224" authorId="0" shapeId="0" xr:uid="{00000000-0006-0000-0100-000064000000}">
      <text>
        <r>
          <rPr>
            <sz val="10"/>
            <rFont val="Arial"/>
            <family val="2"/>
          </rPr>
          <t xml:space="preserve">Informar o preço unitário de cada pneu
</t>
        </r>
      </text>
    </comment>
    <comment ref="C225" authorId="0" shapeId="0" xr:uid="{00000000-0006-0000-0100-000037000000}">
      <text>
        <r>
          <rPr>
            <sz val="10"/>
            <rFont val="Arial"/>
            <family val="2"/>
          </rPr>
          <t>Informar o número de recapagens por pneu</t>
        </r>
      </text>
    </comment>
    <comment ref="D226" authorId="0" shapeId="0" xr:uid="{00000000-0006-0000-0100-000065000000}">
      <text>
        <r>
          <rPr>
            <sz val="10"/>
            <rFont val="Arial"/>
            <family val="2"/>
          </rPr>
          <t xml:space="preserve">Informar o preço unitário de cada recapagem
</t>
        </r>
      </text>
    </comment>
    <comment ref="C227" authorId="0" shapeId="0" xr:uid="{00000000-0006-0000-0100-000038000000}">
      <text>
        <r>
          <rPr>
            <sz val="10"/>
            <rFont val="Arial"/>
            <family val="2"/>
          </rPr>
          <t xml:space="preserve">Informar a durabilidade média dos pneus considerando todas as recapagens, em km
</t>
        </r>
      </text>
    </comment>
    <comment ref="C237" authorId="0" shapeId="0" xr:uid="{00000000-0006-0000-0100-000039000000}">
      <text>
        <r>
          <rPr>
            <sz val="10"/>
            <rFont val="Arial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37" authorId="0" shapeId="0" xr:uid="{00000000-0006-0000-0100-000066000000}">
      <text>
        <r>
          <rPr>
            <sz val="10"/>
            <rFont val="Arial"/>
            <family val="2"/>
          </rPr>
          <t>Informar o valor unitário estimado para aquisição de cada material</t>
        </r>
      </text>
    </comment>
    <comment ref="C238" authorId="0" shapeId="0" xr:uid="{00000000-0006-0000-0100-00003A000000}">
      <text>
        <r>
          <rPr>
            <sz val="10"/>
            <rFont val="Arial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38" authorId="0" shapeId="0" xr:uid="{00000000-0006-0000-0100-000067000000}">
      <text>
        <r>
          <rPr>
            <sz val="10"/>
            <rFont val="Arial"/>
            <family val="2"/>
          </rPr>
          <t>Informar o valor unitário estimado para aquisição de cada material</t>
        </r>
      </text>
    </comment>
    <comment ref="C239" authorId="0" shapeId="0" xr:uid="{00000000-0006-0000-0100-00003B000000}">
      <text>
        <r>
          <rPr>
            <sz val="10"/>
            <rFont val="Arial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39" authorId="0" shapeId="0" xr:uid="{00000000-0006-0000-0100-000068000000}">
      <text>
        <r>
          <rPr>
            <sz val="10"/>
            <rFont val="Arial"/>
            <family val="2"/>
          </rPr>
          <t>Informar o valor unitário estimado para aquisição de cada material</t>
        </r>
      </text>
    </comment>
    <comment ref="C240" authorId="0" shapeId="0" xr:uid="{00000000-0006-0000-0100-00003C000000}">
      <text>
        <r>
          <rPr>
            <sz val="10"/>
            <rFont val="Arial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40" authorId="0" shapeId="0" xr:uid="{00000000-0006-0000-0100-000069000000}">
      <text>
        <r>
          <rPr>
            <sz val="10"/>
            <rFont val="Arial"/>
            <family val="2"/>
          </rPr>
          <t>Informar o valor unitário estimado para aquisição de cada material</t>
        </r>
      </text>
    </comment>
    <comment ref="C241" authorId="0" shapeId="0" xr:uid="{00000000-0006-0000-0100-00003D000000}">
      <text>
        <r>
          <rPr>
            <sz val="10"/>
            <rFont val="Arial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41" authorId="0" shapeId="0" xr:uid="{00000000-0006-0000-0100-00006A000000}">
      <text>
        <r>
          <rPr>
            <sz val="10"/>
            <rFont val="Arial"/>
            <family val="2"/>
          </rPr>
          <t>Informar o valor unitário estimado para aquisição de cada material</t>
        </r>
      </text>
    </comment>
    <comment ref="A249" authorId="0" shapeId="0" xr:uid="{00000000-0006-0000-0100-000005000000}">
      <text>
        <r>
          <rPr>
            <sz val="10"/>
            <rFont val="Arial"/>
            <family val="2"/>
          </rPr>
          <t xml:space="preserve">Especificar somente quando for exigido no Projeto Básico
</t>
        </r>
      </text>
    </comment>
    <comment ref="D252" authorId="0" shapeId="0" xr:uid="{00000000-0006-0000-0100-00006B000000}">
      <text>
        <r>
          <rPr>
            <sz val="10"/>
            <rFont val="Arial"/>
            <family val="2"/>
          </rPr>
          <t>Informar o valor total para instalação do equipamento de monitoramento da frota, se houver previsão no Projeto Básico</t>
        </r>
      </text>
    </comment>
    <comment ref="D254" authorId="0" shapeId="0" xr:uid="{00000000-0006-0000-0100-00006C000000}">
      <text>
        <r>
          <rPr>
            <sz val="10"/>
            <rFont val="Arial"/>
            <family val="2"/>
          </rPr>
          <t>Informar o valor unitário mensal para manutenção dos equipamentos de monitoramento</t>
        </r>
      </text>
    </comment>
    <comment ref="C265" authorId="0" shapeId="0" xr:uid="{00000000-0006-0000-0100-00003E000000}">
      <text>
        <r>
          <rPr>
            <sz val="10"/>
            <rFont val="Arial"/>
            <family val="2"/>
          </rPr>
          <t>Preencher a aba 4.BDI</t>
        </r>
      </text>
    </comment>
    <comment ref="D274" authorId="0" shapeId="0" xr:uid="{00000000-0006-0000-0100-00006D000000}">
      <text>
        <r>
          <rPr>
            <sz val="10"/>
            <rFont val="Arial"/>
            <family val="2"/>
          </rPr>
          <t xml:space="preserve">Informar a quantidade média coletada nos últimos 12 meses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 desconhecido</author>
  </authors>
  <commentList>
    <comment ref="A14" authorId="0" shapeId="0" xr:uid="{00000000-0006-0000-0200-000001000000}">
      <text>
        <r>
          <rPr>
            <sz val="10"/>
            <rFont val="Arial"/>
            <family val="2"/>
          </rPr>
          <t xml:space="preserve">Qualquer custo previsto no edital e não contemplado nesta planilha modelo deverá ser devidamente incluído
</t>
        </r>
      </text>
    </comment>
    <comment ref="B54" authorId="0" shapeId="0" xr:uid="{00000000-0006-0000-0200-000006000000}">
      <text>
        <r>
          <rPr>
            <sz val="10"/>
            <rFont val="Arial"/>
            <family val="2"/>
          </rPr>
          <t xml:space="preserve">Informar o fator de utilização das equipes de coleta. 
Por exemplo:
Equipes com utilização integral = 100%
Equipes com utilização parcial = n° horas trabalhadas por semana /44 horas
</t>
        </r>
      </text>
    </comment>
    <comment ref="D60" authorId="0" shapeId="0" xr:uid="{00000000-0006-0000-0200-000043000000}">
      <text>
        <r>
          <rPr>
            <sz val="10"/>
            <rFont val="Arial"/>
            <family val="2"/>
          </rPr>
          <t>Informar o Piso da categoria fixado na Convenção Coletiva</t>
        </r>
      </text>
    </comment>
    <comment ref="C61" authorId="0" shapeId="0" xr:uid="{00000000-0006-0000-0200-000008000000}">
      <text>
        <r>
          <rPr>
            <sz val="10"/>
            <rFont val="Arial"/>
            <family val="2"/>
          </rPr>
          <t xml:space="preserve">Informar o número de horas extras trabalhadas nos domingos e feriados em horário diurno
</t>
        </r>
      </text>
    </comment>
    <comment ref="C62" authorId="0" shapeId="0" xr:uid="{00000000-0006-0000-0200-000009000000}">
      <text>
        <r>
          <rPr>
            <sz val="10"/>
            <rFont val="Arial"/>
            <family val="2"/>
          </rPr>
          <t xml:space="preserve">Informar o número de horas extras trabalhadas em horário diurno de segunda a sábado 
</t>
        </r>
      </text>
    </comment>
    <comment ref="A63" authorId="0" shapeId="0" xr:uid="{00000000-0006-0000-0200-000002000000}">
      <text>
        <r>
          <rPr>
            <sz val="10"/>
            <rFont val="Arial"/>
            <family val="2"/>
          </rPr>
          <t xml:space="preserve">Cálculo do descanso semanal remunerado incidente sobre as horas extras habitualmente prestadas. Considerada a média de 63 feriados + domingos e 302 dias trabalhados por ano
</t>
        </r>
      </text>
    </comment>
    <comment ref="C66" authorId="0" shapeId="0" xr:uid="{00000000-0006-0000-0200-00000A000000}">
      <text>
        <r>
          <rPr>
            <sz val="10"/>
            <rFont val="Arial"/>
            <family val="2"/>
          </rPr>
          <t xml:space="preserve">Preencher a planilha Encargos Sociais e CAGED </t>
        </r>
      </text>
    </comment>
    <comment ref="C68" authorId="0" shapeId="0" xr:uid="{00000000-0006-0000-0200-00000B000000}">
      <text>
        <r>
          <rPr>
            <sz val="10"/>
            <rFont val="Arial"/>
            <family val="2"/>
          </rPr>
          <t>Informar a quantidade de trabalhadores na função</t>
        </r>
      </text>
    </comment>
    <comment ref="C82" authorId="0" shapeId="0" xr:uid="{00000000-0006-0000-0200-00000C000000}">
      <text>
        <r>
          <rPr>
            <sz val="10"/>
            <rFont val="Arial"/>
            <family val="2"/>
          </rPr>
          <t xml:space="preserve">Preencher a planilha Encargos Sociais e CAGED </t>
        </r>
      </text>
    </comment>
    <comment ref="D89" authorId="0" shapeId="0" xr:uid="{00000000-0006-0000-0200-000044000000}">
      <text>
        <r>
          <rPr>
            <sz val="10"/>
            <rFont val="Arial"/>
            <family val="2"/>
          </rPr>
          <t>Informar o Piso da categoria fixado na Convenção Coletiva</t>
        </r>
      </text>
    </comment>
    <comment ref="D90" authorId="0" shapeId="0" xr:uid="{00000000-0006-0000-0200-000045000000}">
      <text>
        <r>
          <rPr>
            <sz val="10"/>
            <rFont val="Arial"/>
            <family val="2"/>
          </rPr>
          <t>Informar o valor do salário Mínimo Nacional</t>
        </r>
      </text>
    </comment>
    <comment ref="C91" authorId="0" shapeId="0" xr:uid="{00000000-0006-0000-0200-00000D000000}">
      <text>
        <r>
          <rPr>
            <sz val="10"/>
            <rFont val="Arial"/>
            <family val="2"/>
          </rPr>
          <t xml:space="preserve">Informar o número de horas extras trabalhadas nos domingos e feriados em horário diurno
</t>
        </r>
      </text>
    </comment>
    <comment ref="C92" authorId="0" shapeId="0" xr:uid="{00000000-0006-0000-0200-00000E000000}">
      <text>
        <r>
          <rPr>
            <sz val="10"/>
            <rFont val="Arial"/>
            <family val="2"/>
          </rPr>
          <t xml:space="preserve">Informar o número de horas extras trabalhadas em horário diurno de segunda a sábado 
</t>
        </r>
      </text>
    </comment>
    <comment ref="A93" authorId="0" shapeId="0" xr:uid="{00000000-0006-0000-0200-000003000000}">
      <text>
        <r>
          <rPr>
            <sz val="10"/>
            <rFont val="Arial"/>
            <family val="2"/>
          </rPr>
          <t xml:space="preserve">Cálculo do descanso semanal remunerado incidente sobre as horas extras habitualmente prestadas. Considerada a média de 63 feriados + domingos e 302 dias trabalhados por ano
</t>
        </r>
      </text>
    </comment>
    <comment ref="C94" authorId="0" shapeId="0" xr:uid="{00000000-0006-0000-0200-00000F000000}">
      <text>
        <r>
          <rPr>
            <sz val="10"/>
            <rFont val="Arial"/>
            <family val="2"/>
          </rPr>
          <t xml:space="preserve">Informar 1 se a base de cálculo for o Salário Mínimo Nacional; Informar 2 se a base de cálculo for o Piso da Categoria; 
</t>
        </r>
      </text>
    </comment>
    <comment ref="C95" authorId="0" shapeId="0" xr:uid="{00000000-0006-0000-0200-000010000000}">
      <text>
        <r>
          <rPr>
            <sz val="10"/>
            <rFont val="Arial"/>
            <family val="2"/>
          </rPr>
          <t>Percentual estabelecido nas Normas de Segurança de Trabalho ou pelo laudo de responsável técnico devidamente habilitado</t>
        </r>
      </text>
    </comment>
    <comment ref="C97" authorId="0" shapeId="0" xr:uid="{00000000-0006-0000-0200-000011000000}">
      <text>
        <r>
          <rPr>
            <sz val="10"/>
            <rFont val="Arial"/>
            <family val="2"/>
          </rPr>
          <t xml:space="preserve">Preencher a planilha Encargos Sociais e CAGED </t>
        </r>
      </text>
    </comment>
    <comment ref="C99" authorId="0" shapeId="0" xr:uid="{00000000-0006-0000-0200-000012000000}">
      <text>
        <r>
          <rPr>
            <sz val="10"/>
            <rFont val="Arial"/>
            <family val="2"/>
          </rPr>
          <t>Informar a quantidade de trabalhadores na função</t>
        </r>
      </text>
    </comment>
    <comment ref="C113" authorId="0" shapeId="0" xr:uid="{00000000-0006-0000-0200-000013000000}">
      <text>
        <r>
          <rPr>
            <sz val="10"/>
            <rFont val="Arial"/>
            <family val="2"/>
          </rPr>
          <t xml:space="preserve">Preencher a planilha Encargos Sociais e CAGED </t>
        </r>
      </text>
    </comment>
    <comment ref="D120" authorId="0" shapeId="0" xr:uid="{00000000-0006-0000-0200-000046000000}">
      <text>
        <r>
          <rPr>
            <sz val="10"/>
            <rFont val="Arial"/>
            <family val="2"/>
          </rPr>
          <t>Informar o Piso da categoria fixado na Convenção Coletiva</t>
        </r>
      </text>
    </comment>
    <comment ref="D121" authorId="0" shapeId="0" xr:uid="{00000000-0006-0000-0200-000047000000}">
      <text>
        <r>
          <rPr>
            <sz val="10"/>
            <rFont val="Arial"/>
            <family val="2"/>
          </rPr>
          <t>Informar o valor do salário Mínimo Nacional</t>
        </r>
      </text>
    </comment>
    <comment ref="C122" authorId="0" shapeId="0" xr:uid="{00000000-0006-0000-0200-000014000000}">
      <text>
        <r>
          <rPr>
            <sz val="10"/>
            <rFont val="Arial"/>
            <family val="2"/>
          </rPr>
          <t>Informar o número de horas extras trabalhadas em horário diurno nos domingos e feriados</t>
        </r>
      </text>
    </comment>
    <comment ref="C123" authorId="0" shapeId="0" xr:uid="{00000000-0006-0000-0200-000015000000}">
      <text>
        <r>
          <rPr>
            <sz val="10"/>
            <rFont val="Arial"/>
            <family val="2"/>
          </rPr>
          <t xml:space="preserve">Informar o número de horas extras trabalhadas em horário diurno de segunda a sábado 
</t>
        </r>
      </text>
    </comment>
    <comment ref="A124" authorId="0" shapeId="0" xr:uid="{00000000-0006-0000-0200-000004000000}">
      <text>
        <r>
          <rPr>
            <sz val="10"/>
            <rFont val="Arial"/>
            <family val="2"/>
          </rPr>
          <t xml:space="preserve">Cálculo do descanso semanal remunerado incidente sobre as horas extras habitualmente prestadas. Considerada a média de 63 feriados + domingos e 302 dias trabalhados por ano
</t>
        </r>
      </text>
    </comment>
    <comment ref="C125" authorId="0" shapeId="0" xr:uid="{00000000-0006-0000-0200-000016000000}">
      <text>
        <r>
          <rPr>
            <sz val="10"/>
            <rFont val="Arial"/>
            <family val="2"/>
          </rPr>
          <t xml:space="preserve">Informar 1 se a base de cálculo for o Salário Mínimo Nacional; Informar 2 se a base de cálculo for o Piso da Categoria; 
</t>
        </r>
      </text>
    </comment>
    <comment ref="C126" authorId="0" shapeId="0" xr:uid="{00000000-0006-0000-0200-000017000000}">
      <text>
        <r>
          <rPr>
            <sz val="10"/>
            <rFont val="Arial"/>
            <family val="2"/>
          </rPr>
          <t>Percentual estabelecido nas Normas de Segurança de Trabalho ou pelo laudo de responsável técnico devidamente habilitado</t>
        </r>
      </text>
    </comment>
    <comment ref="C128" authorId="0" shapeId="0" xr:uid="{00000000-0006-0000-0200-000018000000}">
      <text>
        <r>
          <rPr>
            <sz val="10"/>
            <rFont val="Arial"/>
            <family val="2"/>
          </rPr>
          <t xml:space="preserve">Preencher a planilha Encargos Sociais e CAGED </t>
        </r>
      </text>
    </comment>
    <comment ref="C130" authorId="0" shapeId="0" xr:uid="{00000000-0006-0000-0200-000019000000}">
      <text>
        <r>
          <rPr>
            <sz val="10"/>
            <rFont val="Arial"/>
            <family val="2"/>
          </rPr>
          <t>Informar a quantidade de trabalhadores na função</t>
        </r>
      </text>
    </comment>
    <comment ref="C144" authorId="0" shapeId="0" xr:uid="{00000000-0006-0000-0200-00001A000000}">
      <text>
        <r>
          <rPr>
            <sz val="10"/>
            <rFont val="Arial"/>
            <family val="2"/>
          </rPr>
          <t xml:space="preserve">Preencher a planilha Encargos Sociais e CAGED </t>
        </r>
      </text>
    </comment>
    <comment ref="D151" authorId="0" shapeId="0" xr:uid="{00000000-0006-0000-0200-000048000000}">
      <text>
        <r>
          <rPr>
            <sz val="10"/>
            <rFont val="Arial"/>
            <family val="2"/>
          </rPr>
          <t>Informar o valor unitário do VT no município</t>
        </r>
      </text>
    </comment>
    <comment ref="C152" authorId="0" shapeId="0" xr:uid="{00000000-0006-0000-0200-00001B000000}">
      <text>
        <r>
          <rPr>
            <sz val="10"/>
            <rFont val="Arial"/>
            <family val="2"/>
          </rPr>
          <t>Informar o número médio de dias trabalhados por mês</t>
        </r>
      </text>
    </comment>
    <comment ref="D153" authorId="0" shapeId="0" xr:uid="{00000000-0006-0000-0200-000049000000}">
      <text>
        <r>
          <rPr>
            <sz val="10"/>
            <rFont val="Arial"/>
            <family val="2"/>
          </rPr>
          <t>Valor Unitário considerando o desconto legal de até 6% do salário</t>
        </r>
      </text>
    </comment>
    <comment ref="D154" authorId="0" shapeId="0" xr:uid="{00000000-0006-0000-0200-00004A000000}">
      <text>
        <r>
          <rPr>
            <sz val="10"/>
            <rFont val="Arial"/>
            <family val="2"/>
          </rPr>
          <t xml:space="preserve">Valor Unitário considerando o desconto legal de até 6% do salário
</t>
        </r>
      </text>
    </comment>
    <comment ref="D155" authorId="0" shapeId="0" xr:uid="{00000000-0006-0000-0200-00004B000000}">
      <text>
        <r>
          <rPr>
            <sz val="10"/>
            <rFont val="Arial"/>
            <family val="2"/>
          </rPr>
          <t xml:space="preserve">Valor Unitário considerando o desconto legal de até 6% do salário
</t>
        </r>
      </text>
    </comment>
    <comment ref="D160" authorId="0" shapeId="0" xr:uid="{00000000-0006-0000-0200-00004C000000}">
      <text>
        <r>
          <rPr>
            <sz val="10"/>
            <rFont val="Arial"/>
            <family val="2"/>
          </rPr>
          <t>Informar o valor unitário do VT no município</t>
        </r>
      </text>
    </comment>
    <comment ref="C161" authorId="0" shapeId="0" xr:uid="{00000000-0006-0000-0200-00001C000000}">
      <text>
        <r>
          <rPr>
            <sz val="10"/>
            <rFont val="Arial"/>
            <family val="2"/>
          </rPr>
          <t>Informar o número médio de dias trabalhados por mês</t>
        </r>
      </text>
    </comment>
    <comment ref="D162" authorId="0" shapeId="0" xr:uid="{00000000-0006-0000-0200-00004D000000}">
      <text>
        <r>
          <rPr>
            <sz val="10"/>
            <rFont val="Arial"/>
            <family val="2"/>
          </rPr>
          <t>Valor Unitário considerando o desconto legal de até 6% do salário</t>
        </r>
      </text>
    </comment>
    <comment ref="D163" authorId="0" shapeId="0" xr:uid="{00000000-0006-0000-0200-00004E000000}">
      <text>
        <r>
          <rPr>
            <sz val="10"/>
            <rFont val="Arial"/>
            <family val="2"/>
          </rPr>
          <t xml:space="preserve">Valor Unitário considerando o desconto legal de até 6% do salário
</t>
        </r>
      </text>
    </comment>
    <comment ref="D164" authorId="0" shapeId="0" xr:uid="{00000000-0006-0000-0200-00004F000000}">
      <text>
        <r>
          <rPr>
            <sz val="10"/>
            <rFont val="Arial"/>
            <family val="2"/>
          </rPr>
          <t xml:space="preserve">Valor Unitário considerando o desconto legal de até 6% do salário
</t>
        </r>
      </text>
    </comment>
    <comment ref="D169" authorId="0" shapeId="0" xr:uid="{00000000-0006-0000-0200-000050000000}">
      <text>
        <r>
          <rPr>
            <sz val="10"/>
            <rFont val="Arial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70" authorId="0" shapeId="0" xr:uid="{00000000-0006-0000-0200-000051000000}">
      <text>
        <r>
          <rPr>
            <sz val="10"/>
            <rFont val="Arial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71" authorId="0" shapeId="0" xr:uid="{00000000-0006-0000-0200-000052000000}">
      <text>
        <r>
          <rPr>
            <sz val="10"/>
            <rFont val="Arial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76" authorId="0" shapeId="0" xr:uid="{00000000-0006-0000-0200-000053000000}">
      <text>
        <r>
          <rPr>
            <sz val="10"/>
            <rFont val="Arial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77" authorId="0" shapeId="0" xr:uid="{00000000-0006-0000-0200-000054000000}">
      <text>
        <r>
          <rPr>
            <sz val="10"/>
            <rFont val="Arial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78" authorId="0" shapeId="0" xr:uid="{00000000-0006-0000-0200-000055000000}">
      <text>
        <r>
          <rPr>
            <sz val="10"/>
            <rFont val="Arial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83" authorId="0" shapeId="0" xr:uid="{00000000-0006-0000-0200-000056000000}">
      <text>
        <r>
          <rPr>
            <sz val="10"/>
            <rFont val="Arial"/>
            <family val="2"/>
          </rPr>
          <t>Informar o valor mensal do auxilio alimentação, considerando o desconto aplicável ao funcionário, conforme Convenção Coletiva da categoria</t>
        </r>
      </text>
    </comment>
    <comment ref="D184" authorId="0" shapeId="0" xr:uid="{00000000-0006-0000-0200-000057000000}">
      <text>
        <r>
          <rPr>
            <sz val="10"/>
            <rFont val="Arial"/>
            <family val="2"/>
          </rPr>
          <t>Informar o valor mensal do auxilio alimentação, considerando o desconto aplicável ao funcionário, conforme Convenção Coletiva da categoria</t>
        </r>
      </text>
    </comment>
    <comment ref="D185" authorId="0" shapeId="0" xr:uid="{00000000-0006-0000-0200-000058000000}">
      <text>
        <r>
          <rPr>
            <sz val="10"/>
            <rFont val="Arial"/>
            <family val="2"/>
          </rPr>
          <t>Informar o valor unitário diário do vale refeição, considerando o desconto aplicável ao funcionário, conforme Convenção Coletiva da categoria.</t>
        </r>
      </text>
    </comment>
    <comment ref="C195" authorId="0" shapeId="0" xr:uid="{00000000-0006-0000-0200-00001D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95" authorId="0" shapeId="0" xr:uid="{00000000-0006-0000-0200-000059000000}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96" authorId="0" shapeId="0" xr:uid="{00000000-0006-0000-0200-00001E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96" authorId="0" shapeId="0" xr:uid="{00000000-0006-0000-0200-00005A000000}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97" authorId="0" shapeId="0" xr:uid="{00000000-0006-0000-0200-00001F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97" authorId="0" shapeId="0" xr:uid="{00000000-0006-0000-0200-00005B000000}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98" authorId="0" shapeId="0" xr:uid="{00000000-0006-0000-0200-000020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98" authorId="0" shapeId="0" xr:uid="{00000000-0006-0000-0200-00005C000000}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199" authorId="0" shapeId="0" xr:uid="{00000000-0006-0000-0200-000021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199" authorId="0" shapeId="0" xr:uid="{00000000-0006-0000-0200-00005D000000}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200" authorId="0" shapeId="0" xr:uid="{00000000-0006-0000-0200-000022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200" authorId="0" shapeId="0" xr:uid="{00000000-0006-0000-0200-00005E000000}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201" authorId="0" shapeId="0" xr:uid="{00000000-0006-0000-0200-000023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201" authorId="0" shapeId="0" xr:uid="{00000000-0006-0000-0200-00005F000000}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202" authorId="0" shapeId="0" xr:uid="{00000000-0006-0000-0200-000024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202" authorId="0" shapeId="0" xr:uid="{00000000-0006-0000-0200-000060000000}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203" authorId="0" shapeId="0" xr:uid="{00000000-0006-0000-0200-000025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203" authorId="0" shapeId="0" xr:uid="{00000000-0006-0000-0200-000061000000}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C204" authorId="0" shapeId="0" xr:uid="{00000000-0006-0000-0200-000026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204" authorId="0" shapeId="0" xr:uid="{00000000-0006-0000-0200-000062000000}">
      <text>
        <r>
          <rPr>
            <sz val="10"/>
            <rFont val="Arial"/>
            <family val="2"/>
          </rPr>
          <t>Informar o valor unitário estimado para aquisição de cada EPI</t>
        </r>
      </text>
    </comment>
    <comment ref="D205" authorId="0" shapeId="0" xr:uid="{00000000-0006-0000-0200-000063000000}">
      <text>
        <r>
          <rPr>
            <sz val="10"/>
            <rFont val="Arial"/>
            <family val="2"/>
          </rPr>
          <t>Informar o valor mensal de higienização de uniforme para 1 funcionário</t>
        </r>
      </text>
    </comment>
    <comment ref="C212" authorId="0" shapeId="0" xr:uid="{00000000-0006-0000-0200-000027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C213" authorId="0" shapeId="0" xr:uid="{00000000-0006-0000-0200-000028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C214" authorId="0" shapeId="0" xr:uid="{00000000-0006-0000-0200-000029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C215" authorId="0" shapeId="0" xr:uid="{00000000-0006-0000-0200-00002A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C216" authorId="0" shapeId="0" xr:uid="{00000000-0006-0000-0200-00002B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C217" authorId="0" shapeId="0" xr:uid="{00000000-0006-0000-0200-00002C000000}">
      <text>
        <r>
          <rPr>
            <sz val="10"/>
            <rFont val="Arial"/>
            <family val="2"/>
          </rPr>
          <t xml:space="preserve">Informar a durabilidade estimada em meses, para cada EPI
</t>
        </r>
      </text>
    </comment>
    <comment ref="D218" authorId="0" shapeId="0" xr:uid="{00000000-0006-0000-0200-000064000000}">
      <text>
        <r>
          <rPr>
            <sz val="10"/>
            <rFont val="Arial"/>
            <family val="2"/>
          </rPr>
          <t>Informar o valor mensal de higienização de uniforme para 1 funcionário</t>
        </r>
      </text>
    </comment>
    <comment ref="D230" authorId="0" shapeId="0" xr:uid="{00000000-0006-0000-0200-000065000000}">
      <text>
        <r>
          <rPr>
            <sz val="10"/>
            <rFont val="Arial"/>
            <family val="2"/>
          </rPr>
          <t>Informar o preço unitário do chassis do caminhão de coleta</t>
        </r>
      </text>
    </comment>
    <comment ref="C231" authorId="0" shapeId="0" xr:uid="{00000000-0006-0000-0200-00002D000000}">
      <text>
        <r>
          <rPr>
            <sz val="10"/>
            <rFont val="Arial"/>
            <family val="2"/>
          </rPr>
          <t>Informar a vida útil estimada para o caminhão, em anos</t>
        </r>
      </text>
    </comment>
    <comment ref="C232" authorId="0" shapeId="0" xr:uid="{00000000-0006-0000-0200-00002E000000}">
      <text>
        <r>
          <rPr>
            <sz val="10"/>
            <rFont val="Arial"/>
            <family val="2"/>
          </rPr>
          <t>Na elaboração do orçamento-base da licitação, informar 0 (zero). Na proposta da licitante, informar a idade do veículo proposto.</t>
        </r>
      </text>
    </comment>
    <comment ref="C233" authorId="0" shapeId="0" xr:uid="{00000000-0006-0000-0200-00002F000000}">
      <text>
        <r>
          <rPr>
            <sz val="10"/>
            <rFont val="Arial"/>
            <family val="2"/>
          </rPr>
          <t xml:space="preserve">Informar o valor da depreciação do caminhão, adotando o valor sugerido pelo TCE ou outro valor estimado 
</t>
        </r>
      </text>
    </comment>
    <comment ref="D235" authorId="0" shapeId="0" xr:uid="{00000000-0006-0000-0200-000066000000}">
      <text>
        <r>
          <rPr>
            <sz val="10"/>
            <rFont val="Arial"/>
            <family val="2"/>
          </rPr>
          <t xml:space="preserve">Informar o preço unitário do equipamento compactador
</t>
        </r>
      </text>
    </comment>
    <comment ref="C236" authorId="0" shapeId="0" xr:uid="{00000000-0006-0000-0200-000030000000}">
      <text>
        <r>
          <rPr>
            <sz val="10"/>
            <rFont val="Arial"/>
            <family val="2"/>
          </rPr>
          <t>Informar a vida útil estimada para o compactador, em anos</t>
        </r>
      </text>
    </comment>
    <comment ref="C237" authorId="0" shapeId="0" xr:uid="{00000000-0006-0000-0200-000031000000}">
      <text>
        <r>
          <rPr>
            <sz val="10"/>
            <rFont val="Arial"/>
            <family val="2"/>
          </rPr>
          <t>Na elaboração do orçamento-base da licitação, informar 0 (zero). Na proposta da licitante, informar a idade do compactador proposto.</t>
        </r>
      </text>
    </comment>
    <comment ref="C238" authorId="0" shapeId="0" xr:uid="{00000000-0006-0000-0200-000032000000}">
      <text>
        <r>
          <rPr>
            <sz val="10"/>
            <rFont val="Arial"/>
            <family val="2"/>
          </rPr>
          <t xml:space="preserve">Informar o valor da depreciação do compactador, adotando o valor sugerido pelo TCE ou outro valor estimado 
</t>
        </r>
      </text>
    </comment>
    <comment ref="C241" authorId="0" shapeId="0" xr:uid="{00000000-0006-0000-0200-000033000000}">
      <text>
        <r>
          <rPr>
            <sz val="10"/>
            <rFont val="Arial"/>
            <family val="2"/>
          </rPr>
          <t>Informar a quantidade de caminhões compactadores do respectivo modelo</t>
        </r>
      </text>
    </comment>
    <comment ref="C247" authorId="0" shapeId="0" xr:uid="{00000000-0006-0000-0200-000034000000}">
      <text>
        <r>
          <rPr>
            <sz val="10"/>
            <rFont val="Arial"/>
            <family val="2"/>
          </rPr>
          <t xml:space="preserve">Informar a taxa de juros anual para remuneração do capital. Recomenda-se o uso da Taxa SELIC
</t>
        </r>
      </text>
    </comment>
    <comment ref="D263" authorId="0" shapeId="0" xr:uid="{00000000-0006-0000-0200-000067000000}">
      <text>
        <r>
          <rPr>
            <sz val="10"/>
            <rFont val="Arial"/>
            <family val="2"/>
          </rPr>
          <t xml:space="preserve">Informar o valor do seguro obrigatório e licenciamento anual de um caminhão
</t>
        </r>
      </text>
    </comment>
    <comment ref="D264" authorId="0" shapeId="0" xr:uid="{00000000-0006-0000-0200-000068000000}">
      <text>
        <r>
          <rPr>
            <sz val="10"/>
            <rFont val="Arial"/>
            <family val="2"/>
          </rPr>
          <t xml:space="preserve">Informar o valor do seguro contra terceiros de um caminhão, se houver previsão no Projeto Básico
</t>
        </r>
      </text>
    </comment>
    <comment ref="B270" authorId="0" shapeId="0" xr:uid="{00000000-0006-0000-0200-000007000000}">
      <text>
        <r>
          <rPr>
            <sz val="10"/>
            <rFont val="Arial"/>
            <family val="2"/>
          </rPr>
          <t xml:space="preserve">Informar a quilometragem mensal percorrida, de acordo com o projeto básico
</t>
        </r>
      </text>
    </comment>
    <comment ref="C273" authorId="0" shapeId="0" xr:uid="{00000000-0006-0000-0200-000035000000}">
      <text>
        <r>
          <rPr>
            <sz val="10"/>
            <rFont val="Arial"/>
            <family val="2"/>
          </rPr>
          <t>Informar o consumo estimado do veículo em km/l</t>
        </r>
      </text>
    </comment>
    <comment ref="D273" authorId="0" shapeId="0" xr:uid="{00000000-0006-0000-0200-000069000000}">
      <text>
        <r>
          <rPr>
            <sz val="10"/>
            <rFont val="Arial"/>
            <family val="2"/>
          </rPr>
          <t xml:space="preserve">Informar o preço unitário do combustivel
</t>
        </r>
      </text>
    </comment>
    <comment ref="C275" authorId="0" shapeId="0" xr:uid="{00000000-0006-0000-0200-000036000000}">
      <text>
        <r>
          <rPr>
            <sz val="10"/>
            <rFont val="Arial"/>
            <family val="2"/>
          </rPr>
          <t>Informar o consumo de óleo do motor a cada 1000km</t>
        </r>
      </text>
    </comment>
    <comment ref="D275" authorId="0" shapeId="0" xr:uid="{00000000-0006-0000-0200-00006A000000}">
      <text>
        <r>
          <rPr>
            <sz val="10"/>
            <rFont val="Arial"/>
            <family val="2"/>
          </rPr>
          <t xml:space="preserve">Informar o preço unitário do litro do óleo do motor
</t>
        </r>
      </text>
    </comment>
    <comment ref="C277" authorId="0" shapeId="0" xr:uid="{00000000-0006-0000-0200-000037000000}">
      <text>
        <r>
          <rPr>
            <sz val="10"/>
            <rFont val="Arial"/>
            <family val="2"/>
          </rPr>
          <t>Informar o consumo de óleo da transmissão a cada 1000km</t>
        </r>
      </text>
    </comment>
    <comment ref="D277" authorId="0" shapeId="0" xr:uid="{00000000-0006-0000-0200-00006B000000}">
      <text>
        <r>
          <rPr>
            <sz val="10"/>
            <rFont val="Arial"/>
            <family val="2"/>
          </rPr>
          <t xml:space="preserve">Informar o preço unitário do litro do óleo da transmissão
</t>
        </r>
      </text>
    </comment>
    <comment ref="C279" authorId="0" shapeId="0" xr:uid="{00000000-0006-0000-0200-000038000000}">
      <text>
        <r>
          <rPr>
            <sz val="10"/>
            <rFont val="Arial"/>
            <family val="2"/>
          </rPr>
          <t>Informar o consumo de óleo hidráulico a cada 1000km</t>
        </r>
      </text>
    </comment>
    <comment ref="D279" authorId="0" shapeId="0" xr:uid="{00000000-0006-0000-0200-00006C000000}">
      <text>
        <r>
          <rPr>
            <sz val="10"/>
            <rFont val="Arial"/>
            <family val="2"/>
          </rPr>
          <t xml:space="preserve">Informar o preço unitário do litro do óleo hidráulico
</t>
        </r>
      </text>
    </comment>
    <comment ref="C281" authorId="0" shapeId="0" xr:uid="{00000000-0006-0000-0200-000039000000}">
      <text>
        <r>
          <rPr>
            <sz val="10"/>
            <rFont val="Arial"/>
            <family val="2"/>
          </rPr>
          <t>Informar o consumo de graxa a cada 1000km</t>
        </r>
      </text>
    </comment>
    <comment ref="D281" authorId="0" shapeId="0" xr:uid="{00000000-0006-0000-0200-00006D000000}">
      <text>
        <r>
          <rPr>
            <sz val="10"/>
            <rFont val="Arial"/>
            <family val="2"/>
          </rPr>
          <t xml:space="preserve">Informar o preço unitário do litro da graxa
</t>
        </r>
      </text>
    </comment>
    <comment ref="D288" authorId="0" shapeId="0" xr:uid="{00000000-0006-0000-0200-00006E000000}">
      <text>
        <r>
          <rPr>
            <sz val="10"/>
            <rFont val="Arial"/>
            <family val="2"/>
          </rPr>
          <t xml:space="preserve">Informar o custo de manutenção em R$/km rodado
</t>
        </r>
      </text>
    </comment>
    <comment ref="C293" authorId="0" shapeId="0" xr:uid="{00000000-0006-0000-0200-00003A000000}">
      <text>
        <r>
          <rPr>
            <sz val="10"/>
            <rFont val="Arial"/>
            <family val="2"/>
          </rPr>
          <t>Informar a quantidade de pneus novos de 1 caminhão</t>
        </r>
      </text>
    </comment>
    <comment ref="D293" authorId="0" shapeId="0" xr:uid="{00000000-0006-0000-0200-00006F000000}">
      <text>
        <r>
          <rPr>
            <sz val="10"/>
            <rFont val="Arial"/>
            <family val="2"/>
          </rPr>
          <t xml:space="preserve">Informar o preço unitário de cada pneu
</t>
        </r>
      </text>
    </comment>
    <comment ref="C294" authorId="0" shapeId="0" xr:uid="{00000000-0006-0000-0200-00003B000000}">
      <text>
        <r>
          <rPr>
            <sz val="10"/>
            <rFont val="Arial"/>
            <family val="2"/>
          </rPr>
          <t>Informar o número de recapagens por pneu</t>
        </r>
      </text>
    </comment>
    <comment ref="D295" authorId="0" shapeId="0" xr:uid="{00000000-0006-0000-0200-000070000000}">
      <text>
        <r>
          <rPr>
            <sz val="10"/>
            <rFont val="Arial"/>
            <family val="2"/>
          </rPr>
          <t xml:space="preserve">Informar o preço unitário de cada recapagem
</t>
        </r>
      </text>
    </comment>
    <comment ref="C296" authorId="0" shapeId="0" xr:uid="{00000000-0006-0000-0200-00003C000000}">
      <text>
        <r>
          <rPr>
            <sz val="10"/>
            <rFont val="Arial"/>
            <family val="2"/>
          </rPr>
          <t xml:space="preserve">Informar a durabilidade média dos pneus considerando todas as recapagens, em km
</t>
        </r>
      </text>
    </comment>
    <comment ref="C306" authorId="0" shapeId="0" xr:uid="{00000000-0006-0000-0200-00003D000000}">
      <text>
        <r>
          <rPr>
            <sz val="10"/>
            <rFont val="Arial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306" authorId="0" shapeId="0" xr:uid="{00000000-0006-0000-0200-000071000000}">
      <text>
        <r>
          <rPr>
            <sz val="10"/>
            <rFont val="Arial"/>
            <family val="2"/>
          </rPr>
          <t>Informar o valor unitário estimado para aquisição de cada material</t>
        </r>
      </text>
    </comment>
    <comment ref="C307" authorId="0" shapeId="0" xr:uid="{00000000-0006-0000-0200-00003E000000}">
      <text>
        <r>
          <rPr>
            <sz val="10"/>
            <rFont val="Arial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307" authorId="0" shapeId="0" xr:uid="{00000000-0006-0000-0200-000072000000}">
      <text>
        <r>
          <rPr>
            <sz val="10"/>
            <rFont val="Arial"/>
            <family val="2"/>
          </rPr>
          <t>Informar o valor unitário estimado para aquisição de cada material</t>
        </r>
      </text>
    </comment>
    <comment ref="C308" authorId="0" shapeId="0" xr:uid="{00000000-0006-0000-0200-00003F000000}">
      <text>
        <r>
          <rPr>
            <sz val="10"/>
            <rFont val="Arial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308" authorId="0" shapeId="0" xr:uid="{00000000-0006-0000-0200-000073000000}">
      <text>
        <r>
          <rPr>
            <sz val="10"/>
            <rFont val="Arial"/>
            <family val="2"/>
          </rPr>
          <t>Informar o valor unitário estimado para aquisição de cada material</t>
        </r>
      </text>
    </comment>
    <comment ref="C309" authorId="0" shapeId="0" xr:uid="{00000000-0006-0000-0200-000040000000}">
      <text>
        <r>
          <rPr>
            <sz val="10"/>
            <rFont val="Arial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309" authorId="0" shapeId="0" xr:uid="{00000000-0006-0000-0200-000074000000}">
      <text>
        <r>
          <rPr>
            <sz val="10"/>
            <rFont val="Arial"/>
            <family val="2"/>
          </rPr>
          <t>Informar o valor unitário estimado para aquisição de cada material</t>
        </r>
      </text>
    </comment>
    <comment ref="C310" authorId="0" shapeId="0" xr:uid="{00000000-0006-0000-0200-000041000000}">
      <text>
        <r>
          <rPr>
            <sz val="10"/>
            <rFont val="Arial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310" authorId="0" shapeId="0" xr:uid="{00000000-0006-0000-0200-000075000000}">
      <text>
        <r>
          <rPr>
            <sz val="10"/>
            <rFont val="Arial"/>
            <family val="2"/>
          </rPr>
          <t>Informar o valor unitário estimado para aquisição de cada material</t>
        </r>
      </text>
    </comment>
    <comment ref="A318" authorId="0" shapeId="0" xr:uid="{00000000-0006-0000-0200-000005000000}">
      <text>
        <r>
          <rPr>
            <sz val="10"/>
            <rFont val="Arial"/>
            <family val="2"/>
          </rPr>
          <t xml:space="preserve">Especificar somente quando for exigido no Projeto Básico
</t>
        </r>
      </text>
    </comment>
    <comment ref="D321" authorId="0" shapeId="0" xr:uid="{00000000-0006-0000-0200-000076000000}">
      <text>
        <r>
          <rPr>
            <sz val="10"/>
            <rFont val="Arial"/>
            <family val="2"/>
          </rPr>
          <t>Informar o valor total para instalação do equipamento de monitoramento da frota, se houver previsão no Projeto Básico</t>
        </r>
      </text>
    </comment>
    <comment ref="D323" authorId="0" shapeId="0" xr:uid="{00000000-0006-0000-0200-000077000000}">
      <text>
        <r>
          <rPr>
            <sz val="10"/>
            <rFont val="Arial"/>
            <family val="2"/>
          </rPr>
          <t>Informar o valor unitário mensal para manutenção dos equipamentos de monitoramento</t>
        </r>
      </text>
    </comment>
    <comment ref="C334" authorId="0" shapeId="0" xr:uid="{00000000-0006-0000-0200-000042000000}">
      <text>
        <r>
          <rPr>
            <sz val="10"/>
            <rFont val="Arial"/>
            <family val="2"/>
          </rPr>
          <t>Preencher a aba 4.BDI</t>
        </r>
      </text>
    </comment>
    <comment ref="D343" authorId="0" shapeId="0" xr:uid="{00000000-0006-0000-0200-000078000000}">
      <text>
        <r>
          <rPr>
            <sz val="10"/>
            <rFont val="Arial"/>
            <family val="2"/>
          </rPr>
          <t xml:space="preserve">Informar a quantidade média coletada nos últimos 12 meses
</t>
        </r>
      </text>
    </comment>
  </commentList>
</comments>
</file>

<file path=xl/sharedStrings.xml><?xml version="1.0" encoding="utf-8"?>
<sst xmlns="http://schemas.openxmlformats.org/spreadsheetml/2006/main" count="935" uniqueCount="206">
  <si>
    <t>ITEM</t>
  </si>
  <si>
    <t>ESPECIFICAÇÃO</t>
  </si>
  <si>
    <t>QUANTIDADE/MÊS</t>
  </si>
  <si>
    <t>UNIDADES</t>
  </si>
  <si>
    <t>MESES</t>
  </si>
  <si>
    <t>VALOR UNITÁRIO REFERÊNCIA (R$/TONELADA) OBTIDO ATRAVÉS DE ELABORAÇÃO DE PLANILHA DE COMPOSIÇÃO DE CUSTOS</t>
  </si>
  <si>
    <t>VALOR TOTAL/MÊS REFERÊNCIA</t>
  </si>
  <si>
    <t>VALOR TOTAL  REFERÊNCIA (QTD DE MESES X VALOR MÊS)</t>
  </si>
  <si>
    <t>Coleta, transporte e descarga de resíduos sólidos domiciliares e comerciais – ALTA TEMPORADA</t>
  </si>
  <si>
    <t>TONELADAS</t>
  </si>
  <si>
    <t>Coleta, transporte e descarga de resíduos sólidos domiciliares e comerciais - BAIXA TEMPORADA</t>
  </si>
  <si>
    <t>TOTAL GLOBAL</t>
  </si>
  <si>
    <t>Orientações para preenchimento:</t>
  </si>
  <si>
    <t xml:space="preserve">1. Esta planilha é somente um modelo-base, devendo ser adaptada para cada caso concreto. </t>
  </si>
  <si>
    <t>Qualquer custo previsto no edital e não contemplado nesta planilha deverá ser devidamente incluído.</t>
  </si>
  <si>
    <t>2. Antes de preenchê-la, leia a Orientação Técnica - Serviço de coleta de resíduos sólidos domiciliares</t>
  </si>
  <si>
    <t>3. Preencher somente células em amarelo</t>
  </si>
  <si>
    <t>4. As células azuis deverão ter seus valores preenchidos em outra planilha do arquivo.</t>
  </si>
  <si>
    <t>O TCE/RS não se responsabiliza pelo uso incorreto desta planilha.</t>
  </si>
  <si>
    <t>O orçamento deve ser realizado por responsável técnico habilitado e é de responsabilidade do seu autor.</t>
  </si>
  <si>
    <t>1. Coleta de Resíduos Sólidos - BAIXA TEMPORADA</t>
  </si>
  <si>
    <t>Planilha de Composição de Custos</t>
  </si>
  <si>
    <t>Orçamento Sintético</t>
  </si>
  <si>
    <t>Descrição do Item</t>
  </si>
  <si>
    <t>Custo (R$/mês)</t>
  </si>
  <si>
    <t>%</t>
  </si>
  <si>
    <t>PREÇO TOTAL MENSAL COM A COLETA</t>
  </si>
  <si>
    <t>Quantitativos</t>
  </si>
  <si>
    <t>Mão-de-obra</t>
  </si>
  <si>
    <t>Quantidade</t>
  </si>
  <si>
    <t>Total de mão-de-obra (postos de trabalho)</t>
  </si>
  <si>
    <t>Veículos e Equipamentos</t>
  </si>
  <si>
    <t>Fator de utilização (FU)</t>
  </si>
  <si>
    <t>1. Mão-de-obra</t>
  </si>
  <si>
    <t>1.1. Coletor Turno Dia</t>
  </si>
  <si>
    <t>Discriminação</t>
  </si>
  <si>
    <t>Unidade</t>
  </si>
  <si>
    <t>Custo unitário</t>
  </si>
  <si>
    <t>Subtotal</t>
  </si>
  <si>
    <r>
      <rPr>
        <b/>
        <sz val="9"/>
        <rFont val="Arial"/>
        <family val="2"/>
        <charset val="1"/>
      </rPr>
      <t xml:space="preserve">Total </t>
    </r>
    <r>
      <rPr>
        <b/>
        <u/>
        <sz val="9"/>
        <rFont val="Arial"/>
        <family val="2"/>
        <charset val="1"/>
      </rPr>
      <t>(R$)</t>
    </r>
  </si>
  <si>
    <t>Piso da categoria</t>
  </si>
  <si>
    <t>mês</t>
  </si>
  <si>
    <t>Horas Extras (100%)</t>
  </si>
  <si>
    <t>hora</t>
  </si>
  <si>
    <t>Excluir esta linha caso a contratação não tenha previsão de horas extras 100% explícita no edital</t>
  </si>
  <si>
    <t>Horas Extras (50%)</t>
  </si>
  <si>
    <t>Excluir esta linha caso a contratação não tenha previsão de horas extras 50% explícita no edital</t>
  </si>
  <si>
    <t>Descanso Semanal Remunerado (DSR) - hora extra</t>
  </si>
  <si>
    <t>R$</t>
  </si>
  <si>
    <t>Excluir esta linha caso a contratação não tenha previsão de horas extras explícita no edital</t>
  </si>
  <si>
    <t>Adicional de Insalubridade</t>
  </si>
  <si>
    <t>Soma</t>
  </si>
  <si>
    <t>Encargos Sociais</t>
  </si>
  <si>
    <t>Total por Coletor</t>
  </si>
  <si>
    <t>Total do Efetivo</t>
  </si>
  <si>
    <t>homem</t>
  </si>
  <si>
    <t>Fator de utilização</t>
  </si>
  <si>
    <t>1.2. Motorista Turno do Dia</t>
  </si>
  <si>
    <t>Piso da categoria (2)</t>
  </si>
  <si>
    <t>Salário mínimo nacional (1)</t>
  </si>
  <si>
    <t>Base de cálculo da Insalubridade</t>
  </si>
  <si>
    <t>Total por Motorista</t>
  </si>
  <si>
    <t>1.3. Fiscal Turno do Dia</t>
  </si>
  <si>
    <t>78.326.469/0001-02</t>
  </si>
  <si>
    <t>1.4. Vale Transporte</t>
  </si>
  <si>
    <t>Vale Transporte</t>
  </si>
  <si>
    <t>Dias Trabalhados por mês</t>
  </si>
  <si>
    <t>dia</t>
  </si>
  <si>
    <t>Coletor</t>
  </si>
  <si>
    <t>vale</t>
  </si>
  <si>
    <t>Motorista</t>
  </si>
  <si>
    <t>Fiscal</t>
  </si>
  <si>
    <t>1.5. Vale-refeição (diário)</t>
  </si>
  <si>
    <t>unidade</t>
  </si>
  <si>
    <t>1.6. Benefício de Assistência ao Trabalhador (mensal)</t>
  </si>
  <si>
    <t>Custo Mensal com Mão-de-obra (R$/mês)</t>
  </si>
  <si>
    <t>2. Uniformes e Equipamentos de Proteção Individual</t>
  </si>
  <si>
    <t>2.1. Uniformes e EPIs para Coletor</t>
  </si>
  <si>
    <t>Durabilidade (meses)</t>
  </si>
  <si>
    <t>Jaqueta com reflexivo (NBR 15.292)</t>
  </si>
  <si>
    <t>Calça</t>
  </si>
  <si>
    <t>Camiseta</t>
  </si>
  <si>
    <t>Boné</t>
  </si>
  <si>
    <t>Botina de segurança c/ palmilha aço</t>
  </si>
  <si>
    <t>par</t>
  </si>
  <si>
    <t>Meia de algodão com cano alto</t>
  </si>
  <si>
    <t>Capa de chuva amarela com reflexivo</t>
  </si>
  <si>
    <t>Colete reflexivo</t>
  </si>
  <si>
    <t>Luva de proteção</t>
  </si>
  <si>
    <t>Protetor solar FPS 30</t>
  </si>
  <si>
    <t>frasco 120g</t>
  </si>
  <si>
    <t>Higienização de uniformes e EPIs</t>
  </si>
  <si>
    <t>R$ mensal</t>
  </si>
  <si>
    <t>2.2. Uniformes e EPIs para demais categorias</t>
  </si>
  <si>
    <t>Custo Mensal com Uniformes e EPIs (R$/mês)</t>
  </si>
  <si>
    <t>3. Veículos e Equipamentos</t>
  </si>
  <si>
    <t>3.1. Veículo Coletor Compactador 15 m³</t>
  </si>
  <si>
    <t>3.1.1. Depreciação</t>
  </si>
  <si>
    <t>Vida útil do chassis</t>
  </si>
  <si>
    <t>anos</t>
  </si>
  <si>
    <t>Idade do veículo</t>
  </si>
  <si>
    <t>Depreciação do chassis</t>
  </si>
  <si>
    <t>Depreciação mensal veículos coletores</t>
  </si>
  <si>
    <t>Custo de aquisição do compactador</t>
  </si>
  <si>
    <t>Vida útil do compactador</t>
  </si>
  <si>
    <t>Idade do compactador</t>
  </si>
  <si>
    <t>Depreciação do compactador</t>
  </si>
  <si>
    <t>Depreciação mensal do compactador</t>
  </si>
  <si>
    <t>Total por veículo</t>
  </si>
  <si>
    <t>Total da frota</t>
  </si>
  <si>
    <t>3.1.2. Remuneração do Capital</t>
  </si>
  <si>
    <t>Custo do chassis</t>
  </si>
  <si>
    <t>Taxa de juros anual nominal</t>
  </si>
  <si>
    <t>Valor do veículo proposto (V0)</t>
  </si>
  <si>
    <t>Investimento médio total do chassis</t>
  </si>
  <si>
    <t>Remuneração mensal de capital do chassis</t>
  </si>
  <si>
    <t>Custo do compactador</t>
  </si>
  <si>
    <t>Valor do compactador proposto (V0)</t>
  </si>
  <si>
    <t>Investimento médio total do compactador</t>
  </si>
  <si>
    <t>Remuneração mensal de capital do compactador</t>
  </si>
  <si>
    <t>Seguro contra terceiros</t>
  </si>
  <si>
    <t>Impostos e seguros mensais</t>
  </si>
  <si>
    <t>3.1.4. Consumos</t>
  </si>
  <si>
    <t>Quilometragem mensal</t>
  </si>
  <si>
    <t>Consumo</t>
  </si>
  <si>
    <t>Custo de óleo diesel / km rodado</t>
  </si>
  <si>
    <t>km/l</t>
  </si>
  <si>
    <t>Custo mensal com óleo diesel</t>
  </si>
  <si>
    <t>km</t>
  </si>
  <si>
    <t>Custo de óleo do motor /1.000 km rodados</t>
  </si>
  <si>
    <t>l/1.000 km</t>
  </si>
  <si>
    <t>Custo mensal com óleo do motor</t>
  </si>
  <si>
    <t>Custo de óleo da transmissão /1.000 km</t>
  </si>
  <si>
    <t>Custo mensal com óleo da transmissão</t>
  </si>
  <si>
    <t>Custo de óleo hidráulico / 1.000 km</t>
  </si>
  <si>
    <t>Custo mensal com óleo hidráulico</t>
  </si>
  <si>
    <t>Custo de graxa /1.000 km rodados</t>
  </si>
  <si>
    <t>kg/1.000 km</t>
  </si>
  <si>
    <t>Custo mensal com graxa</t>
  </si>
  <si>
    <t>Custo com consumos/km rodado</t>
  </si>
  <si>
    <t>R$/km rodado</t>
  </si>
  <si>
    <t>3.1.5. Manutenção</t>
  </si>
  <si>
    <t>Custo de manutenção dos caminhões</t>
  </si>
  <si>
    <t>3.1.6. Pneus</t>
  </si>
  <si>
    <t>Custo do jogo de pneus 275/80 R22,5</t>
  </si>
  <si>
    <t>Número de recapagens por pneu</t>
  </si>
  <si>
    <t>Custo de recapagem</t>
  </si>
  <si>
    <t>Custo jg. compl. + 3 recap./ km rodado</t>
  </si>
  <si>
    <t>km/jogo</t>
  </si>
  <si>
    <t>Custo mensal com pneus</t>
  </si>
  <si>
    <t>Custo Mensal com Veículos e Equipamentos (R$/mês)</t>
  </si>
  <si>
    <t>4. Ferramentas e Materiais de Consumo</t>
  </si>
  <si>
    <t>Recipiente térmico para água (5L)</t>
  </si>
  <si>
    <t>Pá de Concha</t>
  </si>
  <si>
    <t>Vassoura</t>
  </si>
  <si>
    <t>Publicidade (adesivos equipamentos)</t>
  </si>
  <si>
    <t>cj</t>
  </si>
  <si>
    <t>Locação de carro de apoio tipo pick up</t>
  </si>
  <si>
    <t>Combustível</t>
  </si>
  <si>
    <t>L</t>
  </si>
  <si>
    <t>Aluguel Garagem</t>
  </si>
  <si>
    <t>Custo Mensal com Ferramentas e Materiais de Consumo (R$/mês)</t>
  </si>
  <si>
    <t>5. Monitoramento da Frota</t>
  </si>
  <si>
    <t>Implantação dos equipamentos de monitoramento</t>
  </si>
  <si>
    <t>Custo mensal com implantação</t>
  </si>
  <si>
    <t>Manutenção dos equipamentos de monitoramento</t>
  </si>
  <si>
    <t>Custo mensal com manutenção</t>
  </si>
  <si>
    <t>Custo Mensal com Monitoramento da Frota (R$/mês)</t>
  </si>
  <si>
    <t>CUSTO TOTAL MENSAL COM DESPESAS OPERACIONAIS (R$/mês)</t>
  </si>
  <si>
    <t>6. Benefícios e Despesas Indiretas - BDI</t>
  </si>
  <si>
    <t>Benefícios e despesas indiretas</t>
  </si>
  <si>
    <t>CUSTO MENSAL COM BDI (R$/mês)</t>
  </si>
  <si>
    <t>PREÇO MENSAL TOTAL (R$/mês)</t>
  </si>
  <si>
    <t xml:space="preserve">Quantidade média de resíduos coletados por mês: </t>
  </si>
  <si>
    <t>toneladas</t>
  </si>
  <si>
    <t>PREÇO POR TONELADA COLETADA:  [A/B]</t>
  </si>
  <si>
    <t>R$/tonelada</t>
  </si>
  <si>
    <t>1. Coleta de Resíduos Sólidos - ALTA TEMPORADA</t>
  </si>
  <si>
    <t>1.1.1. Coletor Turno Dia - DOMINGOS</t>
  </si>
  <si>
    <t>Dias no ano</t>
  </si>
  <si>
    <t>dias</t>
  </si>
  <si>
    <t>Meses no ano</t>
  </si>
  <si>
    <t>meses</t>
  </si>
  <si>
    <t>Dias na semana</t>
  </si>
  <si>
    <t>Semanas por mês</t>
  </si>
  <si>
    <t>semanas</t>
  </si>
  <si>
    <t>Domingos por mês</t>
  </si>
  <si>
    <t>dias/mês</t>
  </si>
  <si>
    <t>Horas Trabalhadas por domingo</t>
  </si>
  <si>
    <t>Desc. semanal remunerado HE 100%</t>
  </si>
  <si>
    <t>1.2.1. Motorista Turno do Dia - DOMINGOS</t>
  </si>
  <si>
    <t>Desc. semanal remunerado s/he 100%</t>
  </si>
  <si>
    <t>1.3. Fiscal Turno do Dia - DOMINGOS</t>
  </si>
  <si>
    <t>1.4.1. Vale Transporte - DOMINGOS</t>
  </si>
  <si>
    <t>1.5.1 Vale-refeição (diário) - DOMINGOS</t>
  </si>
  <si>
    <t>Contentores</t>
  </si>
  <si>
    <t>Óculos de Sol</t>
  </si>
  <si>
    <t>1.3. Fiscal Turno Diurno</t>
  </si>
  <si>
    <t>IPVA + Lienciamento  e Seguro obrigatório (149,37)</t>
  </si>
  <si>
    <t>IPVA + Licenciamento e Seguro Obrigatório (149,37)</t>
  </si>
  <si>
    <t>Taxa da balsa</t>
  </si>
  <si>
    <t>3.1.3. Impostos, Taxas e Seguros</t>
  </si>
  <si>
    <t>Taxa da Balsa</t>
  </si>
  <si>
    <t xml:space="preserve">mês </t>
  </si>
  <si>
    <t>Custo de aquisição do chassis e Câmera de Ré</t>
  </si>
  <si>
    <t>Custo de aquisição do chassis+câmera de Ré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</si>
</sst>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\-??_);_(@_)"/>
    <numFmt numFmtId="165" formatCode="&quot;R$ &quot;#,##0.00"/>
    <numFmt numFmtId="166" formatCode="&quot;R$ &quot;#,##0.00_);&quot;(R$ &quot;#,##0.00\)"/>
    <numFmt numFmtId="167" formatCode="_(* #,##0_);_(* \(#,##0\);_(* \-??_);_(@_)"/>
    <numFmt numFmtId="168" formatCode="_-* #,##0.00_-;\-* #,##0.00_-;_-* \-??_-;_-@_-"/>
    <numFmt numFmtId="169" formatCode="_(* #,##0.000_);_(* \(#,##0.000\);_(* \-??_);_(@_)"/>
  </numFmts>
  <fonts count="19" x14ac:knownFonts="1">
    <font>
      <sz val="10"/>
      <name val="Arial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Arial"/>
      <family val="2"/>
      <charset val="1"/>
    </font>
    <font>
      <sz val="12"/>
      <name val="Arial"/>
      <family val="2"/>
      <charset val="1"/>
    </font>
    <font>
      <b/>
      <sz val="14"/>
      <name val="Arial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b/>
      <sz val="9"/>
      <name val="Arial"/>
      <family val="2"/>
      <charset val="1"/>
    </font>
    <font>
      <b/>
      <u/>
      <sz val="9"/>
      <name val="Arial"/>
      <family val="2"/>
      <charset val="1"/>
    </font>
    <font>
      <sz val="8"/>
      <name val="Arial"/>
      <family val="2"/>
      <charset val="1"/>
    </font>
    <font>
      <u/>
      <sz val="10"/>
      <color rgb="FF0000FF"/>
      <name val="Arial"/>
      <family val="2"/>
      <charset val="1"/>
    </font>
    <font>
      <sz val="9"/>
      <name val="Arial"/>
      <family val="2"/>
      <charset val="1"/>
    </font>
    <font>
      <i/>
      <sz val="1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C0C0C0"/>
      </patternFill>
    </fill>
    <fill>
      <patternFill patternType="solid">
        <fgColor rgb="FFC0C0C0"/>
        <bgColor rgb="FFBFBFBF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7" fillId="0" borderId="0" applyBorder="0" applyProtection="0"/>
    <xf numFmtId="9" fontId="17" fillId="0" borderId="0" applyBorder="0" applyProtection="0"/>
    <xf numFmtId="0" fontId="12" fillId="0" borderId="0" applyBorder="0" applyProtection="0"/>
  </cellStyleXfs>
  <cellXfs count="165"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0" fontId="0" fillId="0" borderId="0" xfId="2" applyNumberFormat="1" applyFont="1" applyBorder="1" applyAlignment="1" applyProtection="1">
      <alignment horizontal="center" vertical="center"/>
    </xf>
    <xf numFmtId="9" fontId="0" fillId="0" borderId="0" xfId="2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1" applyFont="1" applyBorder="1" applyAlignment="1" applyProtection="1">
      <alignment vertical="center"/>
    </xf>
    <xf numFmtId="0" fontId="3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4" fontId="0" fillId="0" borderId="0" xfId="1" applyFont="1" applyBorder="1" applyAlignment="1" applyProtection="1">
      <alignment vertical="center"/>
    </xf>
    <xf numFmtId="4" fontId="5" fillId="0" borderId="0" xfId="0" applyNumberFormat="1" applyFont="1" applyAlignment="1">
      <alignment vertical="center"/>
    </xf>
    <xf numFmtId="164" fontId="7" fillId="0" borderId="0" xfId="1" applyFont="1" applyBorder="1" applyAlignment="1" applyProtection="1">
      <alignment vertical="center"/>
    </xf>
    <xf numFmtId="0" fontId="7" fillId="0" borderId="0" xfId="0" applyFont="1" applyAlignment="1">
      <alignment vertical="center"/>
    </xf>
    <xf numFmtId="0" fontId="0" fillId="0" borderId="4" xfId="0" applyBorder="1" applyAlignment="1">
      <alignment vertical="center"/>
    </xf>
    <xf numFmtId="164" fontId="0" fillId="0" borderId="5" xfId="1" applyFont="1" applyBorder="1" applyAlignment="1" applyProtection="1">
      <alignment vertical="center"/>
    </xf>
    <xf numFmtId="164" fontId="2" fillId="0" borderId="7" xfId="1" applyFont="1" applyBorder="1" applyAlignment="1" applyProtection="1">
      <alignment horizontal="center" vertical="center"/>
    </xf>
    <xf numFmtId="164" fontId="0" fillId="0" borderId="8" xfId="1" applyFont="1" applyBorder="1" applyAlignment="1" applyProtection="1">
      <alignment vertical="center"/>
    </xf>
    <xf numFmtId="164" fontId="2" fillId="0" borderId="8" xfId="1" applyFont="1" applyBorder="1" applyAlignment="1" applyProtection="1">
      <alignment vertical="center"/>
    </xf>
    <xf numFmtId="164" fontId="2" fillId="0" borderId="9" xfId="1" applyFont="1" applyBorder="1" applyAlignment="1" applyProtection="1">
      <alignment vertical="center"/>
    </xf>
    <xf numFmtId="164" fontId="2" fillId="0" borderId="10" xfId="1" applyFont="1" applyBorder="1" applyAlignment="1" applyProtection="1">
      <alignment horizontal="center" vertical="center"/>
    </xf>
    <xf numFmtId="164" fontId="2" fillId="0" borderId="11" xfId="1" applyFont="1" applyBorder="1" applyAlignment="1" applyProtection="1">
      <alignment vertical="center"/>
    </xf>
    <xf numFmtId="164" fontId="2" fillId="0" borderId="12" xfId="0" applyNumberFormat="1" applyFont="1" applyBorder="1" applyAlignment="1">
      <alignment vertical="center"/>
    </xf>
    <xf numFmtId="164" fontId="2" fillId="0" borderId="12" xfId="1" applyFont="1" applyBorder="1" applyAlignment="1" applyProtection="1">
      <alignment vertical="center"/>
    </xf>
    <xf numFmtId="165" fontId="2" fillId="0" borderId="1" xfId="0" applyNumberFormat="1" applyFont="1" applyBorder="1" applyAlignment="1">
      <alignment vertical="center"/>
    </xf>
    <xf numFmtId="10" fontId="2" fillId="0" borderId="13" xfId="2" applyNumberFormat="1" applyFont="1" applyBorder="1" applyAlignment="1" applyProtection="1">
      <alignment vertical="center"/>
    </xf>
    <xf numFmtId="164" fontId="2" fillId="0" borderId="0" xfId="1" applyFont="1" applyBorder="1" applyAlignment="1" applyProtection="1">
      <alignment vertical="center"/>
    </xf>
    <xf numFmtId="0" fontId="2" fillId="0" borderId="0" xfId="0" applyFont="1" applyAlignment="1">
      <alignment vertical="center"/>
    </xf>
    <xf numFmtId="164" fontId="0" fillId="0" borderId="11" xfId="1" applyFont="1" applyBorder="1" applyAlignment="1" applyProtection="1">
      <alignment vertical="center"/>
    </xf>
    <xf numFmtId="164" fontId="0" fillId="0" borderId="12" xfId="0" applyNumberFormat="1" applyBorder="1" applyAlignment="1">
      <alignment vertical="center"/>
    </xf>
    <xf numFmtId="164" fontId="0" fillId="0" borderId="12" xfId="1" applyFont="1" applyBorder="1" applyAlignment="1" applyProtection="1">
      <alignment vertical="center"/>
    </xf>
    <xf numFmtId="165" fontId="0" fillId="0" borderId="1" xfId="0" applyNumberFormat="1" applyBorder="1" applyAlignment="1">
      <alignment vertical="center"/>
    </xf>
    <xf numFmtId="10" fontId="0" fillId="0" borderId="13" xfId="2" applyNumberFormat="1" applyFont="1" applyBorder="1" applyAlignment="1" applyProtection="1">
      <alignment vertical="center"/>
    </xf>
    <xf numFmtId="164" fontId="2" fillId="0" borderId="11" xfId="1" applyFont="1" applyBorder="1" applyAlignment="1" applyProtection="1">
      <alignment horizontal="left" vertical="center"/>
    </xf>
    <xf numFmtId="4" fontId="2" fillId="0" borderId="12" xfId="0" applyNumberFormat="1" applyFont="1" applyBorder="1" applyAlignment="1">
      <alignment horizontal="center" vertical="center"/>
    </xf>
    <xf numFmtId="164" fontId="1" fillId="0" borderId="11" xfId="1" applyFont="1" applyBorder="1" applyAlignment="1" applyProtection="1">
      <alignment horizontal="left" vertical="center"/>
    </xf>
    <xf numFmtId="4" fontId="0" fillId="0" borderId="12" xfId="0" applyNumberFormat="1" applyBorder="1" applyAlignment="1">
      <alignment horizontal="center" vertical="center"/>
    </xf>
    <xf numFmtId="10" fontId="1" fillId="0" borderId="13" xfId="2" applyNumberFormat="1" applyFont="1" applyBorder="1" applyAlignment="1" applyProtection="1">
      <alignment vertical="center"/>
    </xf>
    <xf numFmtId="165" fontId="2" fillId="0" borderId="14" xfId="0" applyNumberFormat="1" applyFont="1" applyBorder="1" applyAlignment="1">
      <alignment vertical="center"/>
    </xf>
    <xf numFmtId="164" fontId="2" fillId="0" borderId="15" xfId="1" applyFont="1" applyBorder="1" applyAlignment="1" applyProtection="1">
      <alignment horizontal="left" vertical="center"/>
    </xf>
    <xf numFmtId="4" fontId="2" fillId="0" borderId="16" xfId="0" applyNumberFormat="1" applyFont="1" applyBorder="1" applyAlignment="1">
      <alignment horizontal="center" vertical="center"/>
    </xf>
    <xf numFmtId="164" fontId="2" fillId="0" borderId="16" xfId="1" applyFont="1" applyBorder="1" applyAlignment="1" applyProtection="1">
      <alignment vertical="center"/>
    </xf>
    <xf numFmtId="166" fontId="2" fillId="0" borderId="17" xfId="0" applyNumberFormat="1" applyFont="1" applyBorder="1" applyAlignment="1">
      <alignment vertical="center"/>
    </xf>
    <xf numFmtId="9" fontId="2" fillId="0" borderId="18" xfId="2" applyFont="1" applyBorder="1" applyAlignment="1" applyProtection="1">
      <alignment vertical="center"/>
    </xf>
    <xf numFmtId="164" fontId="2" fillId="0" borderId="20" xfId="1" applyFont="1" applyBorder="1" applyAlignment="1" applyProtection="1">
      <alignment horizontal="right" vertical="center"/>
    </xf>
    <xf numFmtId="164" fontId="1" fillId="0" borderId="7" xfId="1" applyFont="1" applyBorder="1" applyAlignment="1" applyProtection="1">
      <alignment vertical="center"/>
    </xf>
    <xf numFmtId="164" fontId="1" fillId="0" borderId="8" xfId="1" applyFont="1" applyBorder="1" applyAlignment="1" applyProtection="1">
      <alignment vertical="center"/>
    </xf>
    <xf numFmtId="0" fontId="0" fillId="0" borderId="8" xfId="0" applyBorder="1" applyAlignment="1">
      <alignment vertical="center"/>
    </xf>
    <xf numFmtId="1" fontId="1" fillId="0" borderId="10" xfId="1" applyNumberFormat="1" applyFont="1" applyBorder="1" applyAlignment="1" applyProtection="1">
      <alignment horizontal="center" vertical="center"/>
    </xf>
    <xf numFmtId="164" fontId="1" fillId="0" borderId="11" xfId="1" applyFont="1" applyBorder="1" applyAlignment="1" applyProtection="1">
      <alignment vertical="center"/>
    </xf>
    <xf numFmtId="164" fontId="1" fillId="0" borderId="12" xfId="1" applyFont="1" applyBorder="1" applyAlignment="1" applyProtection="1">
      <alignment vertical="center"/>
    </xf>
    <xf numFmtId="0" fontId="0" fillId="0" borderId="12" xfId="0" applyBorder="1" applyAlignment="1">
      <alignment vertical="center"/>
    </xf>
    <xf numFmtId="1" fontId="1" fillId="0" borderId="21" xfId="1" applyNumberFormat="1" applyFont="1" applyBorder="1" applyAlignment="1" applyProtection="1">
      <alignment horizontal="center" vertical="center"/>
    </xf>
    <xf numFmtId="164" fontId="2" fillId="0" borderId="22" xfId="1" applyFont="1" applyBorder="1" applyAlignment="1" applyProtection="1">
      <alignment vertical="center"/>
    </xf>
    <xf numFmtId="4" fontId="2" fillId="0" borderId="23" xfId="0" applyNumberFormat="1" applyFont="1" applyBorder="1" applyAlignment="1">
      <alignment vertical="center"/>
    </xf>
    <xf numFmtId="0" fontId="0" fillId="0" borderId="23" xfId="0" applyBorder="1" applyAlignment="1">
      <alignment vertical="center"/>
    </xf>
    <xf numFmtId="1" fontId="2" fillId="0" borderId="24" xfId="1" applyNumberFormat="1" applyFont="1" applyBorder="1" applyAlignment="1" applyProtection="1">
      <alignment horizontal="center" vertical="center"/>
    </xf>
    <xf numFmtId="164" fontId="2" fillId="0" borderId="4" xfId="1" applyFont="1" applyBorder="1" applyAlignment="1" applyProtection="1">
      <alignment vertical="center"/>
    </xf>
    <xf numFmtId="4" fontId="2" fillId="0" borderId="0" xfId="0" applyNumberFormat="1" applyFont="1" applyAlignment="1">
      <alignment vertical="center"/>
    </xf>
    <xf numFmtId="164" fontId="1" fillId="0" borderId="5" xfId="1" applyFont="1" applyBorder="1" applyAlignment="1" applyProtection="1">
      <alignment vertical="center"/>
    </xf>
    <xf numFmtId="164" fontId="1" fillId="0" borderId="26" xfId="1" applyFont="1" applyBorder="1" applyAlignment="1" applyProtection="1">
      <alignment vertical="center"/>
    </xf>
    <xf numFmtId="164" fontId="1" fillId="0" borderId="27" xfId="1" applyFont="1" applyBorder="1" applyAlignment="1" applyProtection="1">
      <alignment vertical="center"/>
    </xf>
    <xf numFmtId="0" fontId="1" fillId="0" borderId="27" xfId="0" applyFont="1" applyBorder="1" applyAlignment="1">
      <alignment vertical="center"/>
    </xf>
    <xf numFmtId="1" fontId="1" fillId="0" borderId="28" xfId="1" applyNumberFormat="1" applyFont="1" applyBorder="1" applyAlignment="1" applyProtection="1">
      <alignment horizontal="center" vertical="center"/>
    </xf>
    <xf numFmtId="1" fontId="1" fillId="0" borderId="0" xfId="1" applyNumberFormat="1" applyFont="1" applyBorder="1" applyAlignment="1" applyProtection="1">
      <alignment horizontal="center" vertical="center"/>
    </xf>
    <xf numFmtId="167" fontId="1" fillId="0" borderId="0" xfId="1" applyNumberFormat="1" applyFont="1" applyBorder="1" applyAlignment="1" applyProtection="1">
      <alignment horizontal="center" vertical="center"/>
    </xf>
    <xf numFmtId="164" fontId="2" fillId="0" borderId="15" xfId="1" applyFont="1" applyBorder="1" applyAlignment="1" applyProtection="1">
      <alignment vertical="center"/>
    </xf>
    <xf numFmtId="9" fontId="2" fillId="0" borderId="29" xfId="2" applyFont="1" applyBorder="1" applyAlignment="1" applyProtection="1">
      <alignment vertical="center"/>
    </xf>
    <xf numFmtId="167" fontId="2" fillId="0" borderId="0" xfId="1" applyNumberFormat="1" applyFont="1" applyBorder="1" applyAlignment="1" applyProtection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/>
    </xf>
    <xf numFmtId="164" fontId="9" fillId="3" borderId="30" xfId="1" applyFont="1" applyFill="1" applyBorder="1" applyAlignment="1" applyProtection="1">
      <alignment horizontal="center" vertical="center"/>
    </xf>
    <xf numFmtId="164" fontId="9" fillId="3" borderId="18" xfId="1" applyFont="1" applyFill="1" applyBorder="1" applyAlignment="1" applyProtection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164" fontId="1" fillId="0" borderId="31" xfId="1" applyFont="1" applyBorder="1" applyAlignment="1" applyProtection="1">
      <alignment horizontal="center" vertical="center"/>
    </xf>
    <xf numFmtId="0" fontId="1" fillId="0" borderId="1" xfId="0" applyFont="1" applyBorder="1" applyAlignment="1">
      <alignment vertical="center"/>
    </xf>
    <xf numFmtId="2" fontId="1" fillId="0" borderId="1" xfId="0" applyNumberFormat="1" applyFont="1" applyBorder="1" applyAlignment="1">
      <alignment horizontal="center" vertical="center"/>
    </xf>
    <xf numFmtId="164" fontId="1" fillId="0" borderId="1" xfId="1" applyFont="1" applyBorder="1" applyAlignment="1" applyProtection="1">
      <alignment horizontal="center" vertical="center"/>
    </xf>
    <xf numFmtId="0" fontId="2" fillId="0" borderId="32" xfId="0" applyFont="1" applyBorder="1" applyAlignment="1">
      <alignment vertical="center"/>
    </xf>
    <xf numFmtId="164" fontId="2" fillId="0" borderId="0" xfId="1" applyFont="1" applyBorder="1" applyAlignment="1" applyProtection="1">
      <alignment horizontal="center" vertical="center"/>
    </xf>
    <xf numFmtId="164" fontId="2" fillId="0" borderId="32" xfId="1" applyFont="1" applyBorder="1" applyAlignment="1" applyProtection="1">
      <alignment horizontal="center" vertical="center"/>
    </xf>
    <xf numFmtId="164" fontId="1" fillId="0" borderId="0" xfId="1" applyFont="1" applyBorder="1" applyAlignment="1" applyProtection="1">
      <alignment horizontal="right" vertical="center"/>
    </xf>
    <xf numFmtId="164" fontId="1" fillId="0" borderId="1" xfId="1" applyFont="1" applyBorder="1" applyAlignment="1" applyProtection="1">
      <alignment vertical="center"/>
    </xf>
    <xf numFmtId="164" fontId="2" fillId="3" borderId="29" xfId="1" applyFont="1" applyFill="1" applyBorder="1" applyAlignment="1" applyProtection="1">
      <alignment horizontal="center" vertical="center"/>
    </xf>
    <xf numFmtId="0" fontId="11" fillId="0" borderId="0" xfId="0" applyFont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" xfId="1" applyFont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2" xfId="1" applyFont="1" applyBorder="1" applyAlignment="1" applyProtection="1">
      <alignment horizontal="center" vertical="center"/>
    </xf>
    <xf numFmtId="0" fontId="1" fillId="0" borderId="0" xfId="0" applyFont="1" applyAlignment="1">
      <alignment horizontal="right" vertical="center"/>
    </xf>
    <xf numFmtId="167" fontId="1" fillId="0" borderId="1" xfId="1" applyNumberFormat="1" applyFont="1" applyBorder="1" applyAlignment="1" applyProtection="1">
      <alignment horizontal="center" vertical="center"/>
    </xf>
    <xf numFmtId="167" fontId="1" fillId="0" borderId="1" xfId="1" applyNumberFormat="1" applyFont="1" applyBorder="1" applyAlignment="1" applyProtection="1">
      <alignment vertical="center"/>
    </xf>
    <xf numFmtId="164" fontId="2" fillId="3" borderId="6" xfId="1" applyFont="1" applyFill="1" applyBorder="1" applyAlignment="1" applyProtection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164" fontId="2" fillId="0" borderId="29" xfId="1" applyFont="1" applyBorder="1" applyAlignment="1" applyProtection="1">
      <alignment vertical="center"/>
    </xf>
    <xf numFmtId="0" fontId="9" fillId="3" borderId="30" xfId="0" applyFont="1" applyFill="1" applyBorder="1" applyAlignment="1">
      <alignment horizontal="center" vertical="center" wrapText="1"/>
    </xf>
    <xf numFmtId="1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0" xfId="1" applyFont="1" applyBorder="1" applyProtection="1"/>
    <xf numFmtId="0" fontId="1" fillId="0" borderId="0" xfId="0" applyFont="1"/>
    <xf numFmtId="0" fontId="1" fillId="0" borderId="16" xfId="0" applyFont="1" applyBorder="1" applyAlignment="1">
      <alignment vertical="center"/>
    </xf>
    <xf numFmtId="164" fontId="1" fillId="0" borderId="16" xfId="1" applyFont="1" applyBorder="1" applyAlignment="1" applyProtection="1">
      <alignment vertical="center"/>
    </xf>
    <xf numFmtId="164" fontId="1" fillId="0" borderId="29" xfId="1" applyFont="1" applyBorder="1" applyAlignment="1" applyProtection="1">
      <alignment vertical="center"/>
    </xf>
    <xf numFmtId="164" fontId="2" fillId="3" borderId="6" xfId="1" applyFont="1" applyFill="1" applyBorder="1" applyAlignment="1" applyProtection="1">
      <alignment horizontal="center" vertical="center"/>
    </xf>
    <xf numFmtId="0" fontId="12" fillId="0" borderId="0" xfId="3" applyBorder="1" applyAlignment="1" applyProtection="1">
      <alignment vertical="center"/>
    </xf>
    <xf numFmtId="4" fontId="1" fillId="0" borderId="0" xfId="0" applyNumberFormat="1" applyFont="1" applyAlignment="1">
      <alignment vertical="center"/>
    </xf>
    <xf numFmtId="168" fontId="1" fillId="0" borderId="0" xfId="0" applyNumberFormat="1" applyFont="1" applyAlignment="1">
      <alignment vertical="center"/>
    </xf>
    <xf numFmtId="164" fontId="1" fillId="0" borderId="0" xfId="1" applyFont="1" applyBorder="1" applyAlignment="1" applyProtection="1">
      <alignment horizontal="center" vertical="center"/>
    </xf>
    <xf numFmtId="0" fontId="2" fillId="0" borderId="33" xfId="0" applyFont="1" applyBorder="1" applyAlignment="1">
      <alignment vertical="center"/>
    </xf>
    <xf numFmtId="0" fontId="2" fillId="0" borderId="33" xfId="0" applyFont="1" applyBorder="1" applyAlignment="1">
      <alignment horizontal="center" vertical="center"/>
    </xf>
    <xf numFmtId="164" fontId="2" fillId="0" borderId="33" xfId="1" applyFont="1" applyBorder="1" applyAlignment="1" applyProtection="1">
      <alignment horizontal="center" vertical="center"/>
    </xf>
    <xf numFmtId="0" fontId="11" fillId="0" borderId="0" xfId="0" applyFont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4" fontId="1" fillId="0" borderId="31" xfId="0" applyNumberFormat="1" applyFont="1" applyBorder="1" applyAlignment="1">
      <alignment horizontal="center" vertical="center"/>
    </xf>
    <xf numFmtId="169" fontId="1" fillId="0" borderId="31" xfId="1" applyNumberFormat="1" applyFont="1" applyBorder="1" applyAlignment="1" applyProtection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169" fontId="1" fillId="0" borderId="1" xfId="1" applyNumberFormat="1" applyFont="1" applyBorder="1" applyAlignment="1" applyProtection="1">
      <alignment horizontal="center" vertical="center"/>
    </xf>
    <xf numFmtId="167" fontId="2" fillId="0" borderId="1" xfId="1" applyNumberFormat="1" applyFont="1" applyBorder="1" applyAlignment="1" applyProtection="1">
      <alignment horizontal="center" vertical="center"/>
    </xf>
    <xf numFmtId="169" fontId="2" fillId="0" borderId="1" xfId="1" applyNumberFormat="1" applyFont="1" applyBorder="1" applyAlignment="1" applyProtection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4" fontId="14" fillId="0" borderId="1" xfId="1" applyFont="1" applyBorder="1" applyAlignment="1" applyProtection="1">
      <alignment horizontal="center" vertical="center"/>
    </xf>
    <xf numFmtId="164" fontId="15" fillId="0" borderId="0" xfId="1" applyFont="1" applyBorder="1" applyAlignment="1" applyProtection="1">
      <alignment vertical="center"/>
    </xf>
    <xf numFmtId="0" fontId="15" fillId="0" borderId="0" xfId="0" applyFont="1" applyAlignment="1">
      <alignment vertical="center"/>
    </xf>
    <xf numFmtId="164" fontId="3" fillId="0" borderId="0" xfId="1" applyFont="1" applyBorder="1" applyAlignment="1" applyProtection="1">
      <alignment vertical="center"/>
    </xf>
    <xf numFmtId="10" fontId="1" fillId="0" borderId="0" xfId="2" applyNumberFormat="1" applyFont="1" applyBorder="1" applyAlignment="1" applyProtection="1">
      <alignment vertical="center"/>
    </xf>
    <xf numFmtId="0" fontId="1" fillId="0" borderId="34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64" fontId="1" fillId="0" borderId="35" xfId="1" applyFont="1" applyBorder="1" applyAlignment="1" applyProtection="1">
      <alignment vertical="center"/>
    </xf>
    <xf numFmtId="164" fontId="2" fillId="0" borderId="29" xfId="1" applyFont="1" applyBorder="1" applyAlignment="1" applyProtection="1">
      <alignment horizontal="right" vertical="center"/>
    </xf>
    <xf numFmtId="164" fontId="2" fillId="3" borderId="6" xfId="1" applyFont="1" applyFill="1" applyBorder="1" applyAlignment="1" applyProtection="1">
      <alignment horizontal="right" vertical="center"/>
    </xf>
    <xf numFmtId="2" fontId="1" fillId="0" borderId="0" xfId="0" applyNumberFormat="1" applyFont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0" fontId="1" fillId="0" borderId="32" xfId="0" applyFont="1" applyBorder="1" applyAlignment="1">
      <alignment vertical="center"/>
    </xf>
    <xf numFmtId="164" fontId="1" fillId="0" borderId="32" xfId="1" applyFont="1" applyBorder="1" applyAlignment="1" applyProtection="1">
      <alignment horizontal="center" vertical="center"/>
    </xf>
    <xf numFmtId="4" fontId="1" fillId="0" borderId="1" xfId="1" applyNumberFormat="1" applyFont="1" applyBorder="1" applyAlignment="1" applyProtection="1">
      <alignment horizontal="center" vertical="center"/>
    </xf>
    <xf numFmtId="164" fontId="9" fillId="0" borderId="30" xfId="1" applyFont="1" applyBorder="1" applyAlignment="1" applyProtection="1">
      <alignment horizontal="center" vertical="center"/>
    </xf>
    <xf numFmtId="0" fontId="18" fillId="0" borderId="0" xfId="3" applyFont="1" applyBorder="1" applyAlignment="1" applyProtection="1">
      <alignment vertical="center"/>
    </xf>
    <xf numFmtId="4" fontId="2" fillId="0" borderId="17" xfId="0" applyNumberFormat="1" applyFont="1" applyBorder="1" applyAlignment="1">
      <alignment vertical="center"/>
    </xf>
    <xf numFmtId="164" fontId="16" fillId="0" borderId="11" xfId="1" applyFont="1" applyBorder="1" applyAlignment="1" applyProtection="1">
      <alignment vertical="center"/>
    </xf>
    <xf numFmtId="0" fontId="2" fillId="0" borderId="1" xfId="0" applyFont="1" applyBorder="1" applyAlignment="1">
      <alignment horizontal="center" vertical="center"/>
    </xf>
    <xf numFmtId="164" fontId="2" fillId="0" borderId="19" xfId="1" applyFont="1" applyBorder="1" applyAlignment="1" applyProtection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164" fontId="3" fillId="2" borderId="6" xfId="1" applyFont="1" applyFill="1" applyBorder="1" applyAlignment="1" applyProtection="1">
      <alignment horizontal="center" vertical="center"/>
    </xf>
    <xf numFmtId="164" fontId="2" fillId="0" borderId="11" xfId="1" applyFont="1" applyBorder="1" applyAlignment="1" applyProtection="1">
      <alignment horizontal="left" vertical="center"/>
    </xf>
  </cellXfs>
  <cellStyles count="4">
    <cellStyle name="Hiperlink" xfId="3" builtinId="8"/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..\..\G:\Pen%20Drive\Contratos\Laguna%20-%20REPAC\Planilha%20Lagu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riados"/>
      <sheetName val="Quant."/>
      <sheetName val="Resumo"/>
      <sheetName val="Resumo (1a. Repac)ñ"/>
      <sheetName val="Resumo (1o. Reaj)ñ"/>
      <sheetName val="1. Domiciliar - BT"/>
      <sheetName val="1. Domiciliar - BT (1a. Repac)ñ"/>
      <sheetName val="1o. Reajuste"/>
      <sheetName val="1. Domiciliar - BT (1o. Reaj.)"/>
      <sheetName val="1. Domiciliar - AT"/>
      <sheetName val="1. Domiciliar - AT (1a. Repac)ñ"/>
      <sheetName val="Dif. Repac"/>
      <sheetName val="1. Domiciliar - AT (1o. Reaj.)"/>
      <sheetName val="2.Encargos Sociais"/>
      <sheetName val="3.CAGED"/>
      <sheetName val="4.BDI"/>
      <sheetName val="5. Depreciação"/>
      <sheetName val="6.Remuneração de capital"/>
      <sheetName val="7. Dimensionamento"/>
    </sheetNames>
    <sheetDataSet>
      <sheetData sheetId="0" refreshError="1">
        <row r="32">
          <cell r="C32">
            <v>6.7466666666666697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>
        <row r="97">
          <cell r="D97">
            <v>3.9</v>
          </cell>
        </row>
        <row r="113">
          <cell r="D113">
            <v>11</v>
          </cell>
        </row>
        <row r="115">
          <cell r="D115">
            <v>11</v>
          </cell>
        </row>
        <row r="125">
          <cell r="D125">
            <v>129.9</v>
          </cell>
        </row>
        <row r="128">
          <cell r="D128">
            <v>17.899999999999999</v>
          </cell>
        </row>
        <row r="130">
          <cell r="D130">
            <v>17.899999999999999</v>
          </cell>
        </row>
        <row r="131">
          <cell r="D131">
            <v>129.9</v>
          </cell>
        </row>
        <row r="135">
          <cell r="D135">
            <v>59.9</v>
          </cell>
        </row>
        <row r="148">
          <cell r="D148">
            <v>49.9</v>
          </cell>
        </row>
        <row r="177">
          <cell r="C177">
            <v>13.25</v>
          </cell>
        </row>
        <row r="203">
          <cell r="D203">
            <v>7.43</v>
          </cell>
        </row>
        <row r="205">
          <cell r="D205">
            <v>16.989999999999998</v>
          </cell>
        </row>
        <row r="207">
          <cell r="D207">
            <v>19.007000000000001</v>
          </cell>
        </row>
        <row r="209">
          <cell r="D209">
            <v>12.8195</v>
          </cell>
        </row>
        <row r="211">
          <cell r="D211">
            <v>13.51</v>
          </cell>
        </row>
        <row r="223">
          <cell r="D223">
            <v>2490</v>
          </cell>
        </row>
        <row r="236">
          <cell r="D236">
            <v>59.9</v>
          </cell>
        </row>
        <row r="237">
          <cell r="D237">
            <v>39.9</v>
          </cell>
        </row>
        <row r="238">
          <cell r="D238">
            <v>29.9</v>
          </cell>
        </row>
        <row r="253">
          <cell r="D253">
            <v>47.9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3">
          <cell r="A3">
            <v>1</v>
          </cell>
          <cell r="B3">
            <v>33.630000000000003</v>
          </cell>
        </row>
        <row r="4">
          <cell r="A4">
            <v>2</v>
          </cell>
          <cell r="B4">
            <v>43.13</v>
          </cell>
        </row>
        <row r="5">
          <cell r="A5">
            <v>3</v>
          </cell>
          <cell r="B5">
            <v>48.68</v>
          </cell>
        </row>
        <row r="6">
          <cell r="A6">
            <v>4</v>
          </cell>
          <cell r="B6">
            <v>52.62</v>
          </cell>
        </row>
        <row r="7">
          <cell r="A7">
            <v>5</v>
          </cell>
          <cell r="B7">
            <v>55.68</v>
          </cell>
        </row>
        <row r="8">
          <cell r="A8">
            <v>6</v>
          </cell>
          <cell r="B8">
            <v>58.18</v>
          </cell>
        </row>
        <row r="9">
          <cell r="A9">
            <v>7</v>
          </cell>
          <cell r="B9">
            <v>60.29</v>
          </cell>
        </row>
        <row r="10">
          <cell r="A10">
            <v>8</v>
          </cell>
          <cell r="B10">
            <v>62.12</v>
          </cell>
        </row>
        <row r="11">
          <cell r="A11">
            <v>9</v>
          </cell>
          <cell r="B11">
            <v>63.73</v>
          </cell>
        </row>
        <row r="12">
          <cell r="A12">
            <v>10</v>
          </cell>
          <cell r="B12">
            <v>65.180000000000007</v>
          </cell>
        </row>
        <row r="13">
          <cell r="A13">
            <v>11</v>
          </cell>
          <cell r="B13">
            <v>66.48</v>
          </cell>
        </row>
        <row r="14">
          <cell r="A14">
            <v>12</v>
          </cell>
          <cell r="B14">
            <v>67.67</v>
          </cell>
        </row>
        <row r="15">
          <cell r="A15">
            <v>13</v>
          </cell>
          <cell r="B15">
            <v>68.77</v>
          </cell>
        </row>
        <row r="16">
          <cell r="A16">
            <v>14</v>
          </cell>
          <cell r="B16">
            <v>69.790000000000006</v>
          </cell>
        </row>
        <row r="17">
          <cell r="A17">
            <v>15</v>
          </cell>
          <cell r="B17">
            <v>70.73</v>
          </cell>
        </row>
      </sheetData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4"/>
  <sheetViews>
    <sheetView tabSelected="1" view="pageBreakPreview" zoomScale="96" zoomScaleNormal="100" zoomScalePageLayoutView="96" workbookViewId="0">
      <selection activeCell="F17" sqref="F17"/>
    </sheetView>
  </sheetViews>
  <sheetFormatPr defaultColWidth="9.109375" defaultRowHeight="13.2" x14ac:dyDescent="0.25"/>
  <cols>
    <col min="1" max="1" width="9.109375" style="1"/>
    <col min="2" max="2" width="16.109375" style="1" customWidth="1"/>
    <col min="3" max="3" width="17.88671875" style="1" customWidth="1"/>
    <col min="4" max="4" width="12.109375" style="1" customWidth="1"/>
    <col min="5" max="5" width="9.109375" style="1"/>
    <col min="6" max="6" width="48.109375" style="1" customWidth="1"/>
    <col min="7" max="7" width="13.109375" style="1" customWidth="1"/>
    <col min="8" max="8" width="12.88671875" style="1" customWidth="1"/>
    <col min="9" max="9" width="12.109375" style="2" customWidth="1"/>
    <col min="10" max="16384" width="9.109375" style="1"/>
  </cols>
  <sheetData>
    <row r="1" spans="1:10" ht="79.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</row>
    <row r="2" spans="1:10" ht="84.75" customHeight="1" x14ac:dyDescent="0.25">
      <c r="A2" s="5">
        <v>1</v>
      </c>
      <c r="B2" s="4" t="s">
        <v>8</v>
      </c>
      <c r="C2" s="5">
        <v>1350</v>
      </c>
      <c r="D2" s="3" t="s">
        <v>9</v>
      </c>
      <c r="E2" s="5">
        <v>3</v>
      </c>
      <c r="F2" s="6">
        <f>'1. Domiciliar - AT (1a. Repac)ñ'!F345</f>
        <v>476.31999801509642</v>
      </c>
      <c r="G2" s="7">
        <f>ROUND('1. Domiciliar - AT (1a. Repac)ñ'!F340,2)</f>
        <v>643032</v>
      </c>
      <c r="H2" s="7">
        <f>E2*G2</f>
        <v>1929096</v>
      </c>
      <c r="I2" s="8"/>
      <c r="J2" s="9"/>
    </row>
    <row r="3" spans="1:10" ht="92.4" x14ac:dyDescent="0.25">
      <c r="A3" s="5">
        <v>2</v>
      </c>
      <c r="B3" s="4" t="s">
        <v>10</v>
      </c>
      <c r="C3" s="5">
        <v>1100</v>
      </c>
      <c r="D3" s="3" t="s">
        <v>9</v>
      </c>
      <c r="E3" s="5">
        <v>9</v>
      </c>
      <c r="F3" s="6">
        <f>'1. Domiciliar - BT (1a. Repac)ñ'!F276</f>
        <v>404.24999578404459</v>
      </c>
      <c r="G3" s="7">
        <f>ROUND('1. Domiciliar - BT (1a. Repac)ñ'!F271,2)</f>
        <v>444675</v>
      </c>
      <c r="H3" s="7">
        <f>E3*G3</f>
        <v>4002075</v>
      </c>
      <c r="I3" s="8"/>
      <c r="J3" s="9"/>
    </row>
    <row r="4" spans="1:10" s="13" customFormat="1" x14ac:dyDescent="0.25">
      <c r="A4" s="158" t="s">
        <v>11</v>
      </c>
      <c r="B4" s="158"/>
      <c r="C4" s="158"/>
      <c r="D4" s="158"/>
      <c r="E4" s="158"/>
      <c r="F4" s="158"/>
      <c r="G4" s="158"/>
      <c r="H4" s="11">
        <f>SUM(H2:H3)</f>
        <v>5931171</v>
      </c>
      <c r="I4" s="12"/>
      <c r="J4" s="9"/>
    </row>
  </sheetData>
  <mergeCells count="1">
    <mergeCell ref="A4:G4"/>
  </mergeCells>
  <pageMargins left="0.51180555555555596" right="0.51180555555555596" top="0.78749999999999998" bottom="0.78749999999999998" header="0.511811023622047" footer="0.511811023622047"/>
  <pageSetup paperSize="9" scale="9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J310"/>
  <sheetViews>
    <sheetView view="pageBreakPreview" topLeftCell="A245" zoomScaleNormal="100" workbookViewId="0">
      <selection activeCell="F272" sqref="F272"/>
    </sheetView>
  </sheetViews>
  <sheetFormatPr defaultColWidth="9.109375" defaultRowHeight="13.2" x14ac:dyDescent="0.25"/>
  <cols>
    <col min="1" max="1" width="44.5546875" style="14" customWidth="1"/>
    <col min="2" max="2" width="16" style="14" customWidth="1"/>
    <col min="3" max="3" width="11.88671875" style="14" customWidth="1"/>
    <col min="4" max="4" width="14.6640625" style="15" customWidth="1"/>
    <col min="5" max="5" width="15.44140625" style="15" customWidth="1"/>
    <col min="6" max="6" width="13.33203125" style="15" customWidth="1"/>
    <col min="7" max="7" width="28.109375" style="15" customWidth="1"/>
    <col min="8" max="8" width="9.109375" style="14"/>
    <col min="9" max="9" width="14.5546875" style="14" customWidth="1"/>
    <col min="10" max="10" width="13.44140625" style="14" customWidth="1"/>
    <col min="11" max="16384" width="9.109375" style="14"/>
  </cols>
  <sheetData>
    <row r="1" spans="1:7" ht="15.6" x14ac:dyDescent="0.25">
      <c r="A1" s="16" t="s">
        <v>12</v>
      </c>
    </row>
    <row r="2" spans="1:7" ht="15.6" x14ac:dyDescent="0.25">
      <c r="A2" s="17" t="s">
        <v>13</v>
      </c>
    </row>
    <row r="3" spans="1:7" ht="15.6" x14ac:dyDescent="0.25">
      <c r="A3" s="17" t="s">
        <v>14</v>
      </c>
    </row>
    <row r="4" spans="1:7" ht="15.6" x14ac:dyDescent="0.25">
      <c r="A4" s="17" t="s">
        <v>15</v>
      </c>
    </row>
    <row r="5" spans="1:7" s="19" customFormat="1" ht="15" customHeight="1" x14ac:dyDescent="0.25">
      <c r="A5" s="18" t="s">
        <v>16</v>
      </c>
      <c r="C5" s="20"/>
      <c r="D5" s="20"/>
      <c r="E5" s="20"/>
      <c r="F5" s="20"/>
      <c r="G5" s="21"/>
    </row>
    <row r="6" spans="1:7" s="19" customFormat="1" ht="15" customHeight="1" x14ac:dyDescent="0.25">
      <c r="A6" s="22" t="s">
        <v>17</v>
      </c>
      <c r="B6" s="20"/>
      <c r="C6" s="20"/>
      <c r="D6" s="20"/>
      <c r="E6" s="20"/>
      <c r="F6" s="20"/>
      <c r="G6" s="21"/>
    </row>
    <row r="7" spans="1:7" s="19" customFormat="1" ht="15" customHeight="1" x14ac:dyDescent="0.25">
      <c r="A7" s="14"/>
      <c r="B7" s="20"/>
      <c r="C7" s="20"/>
      <c r="D7" s="20"/>
      <c r="E7" s="20"/>
      <c r="F7" s="20"/>
      <c r="G7" s="21"/>
    </row>
    <row r="8" spans="1:7" s="19" customFormat="1" ht="15" customHeight="1" x14ac:dyDescent="0.25">
      <c r="A8" s="17" t="s">
        <v>18</v>
      </c>
      <c r="B8" s="20"/>
      <c r="C8" s="20"/>
      <c r="D8" s="20"/>
      <c r="E8" s="20"/>
      <c r="F8" s="20"/>
      <c r="G8" s="21"/>
    </row>
    <row r="9" spans="1:7" s="19" customFormat="1" ht="15" customHeight="1" x14ac:dyDescent="0.25">
      <c r="A9" s="17" t="s">
        <v>19</v>
      </c>
      <c r="B9" s="20"/>
      <c r="C9" s="20"/>
      <c r="D9" s="20"/>
      <c r="E9" s="20"/>
      <c r="F9" s="20"/>
      <c r="G9" s="21"/>
    </row>
    <row r="10" spans="1:7" s="19" customFormat="1" ht="16.5" customHeight="1" x14ac:dyDescent="0.25">
      <c r="A10" s="14"/>
      <c r="B10" s="20"/>
      <c r="C10" s="20"/>
      <c r="D10" s="21"/>
      <c r="E10" s="21"/>
      <c r="F10" s="21"/>
      <c r="G10" s="21"/>
    </row>
    <row r="11" spans="1:7" s="24" customFormat="1" ht="17.399999999999999" x14ac:dyDescent="0.25">
      <c r="A11" s="161" t="s">
        <v>20</v>
      </c>
      <c r="B11" s="161"/>
      <c r="C11" s="161"/>
      <c r="D11" s="161"/>
      <c r="E11" s="161"/>
      <c r="F11" s="161"/>
      <c r="G11" s="23"/>
    </row>
    <row r="12" spans="1:7" s="24" customFormat="1" ht="21.75" customHeight="1" x14ac:dyDescent="0.25">
      <c r="A12" s="162" t="s">
        <v>21</v>
      </c>
      <c r="B12" s="162"/>
      <c r="C12" s="162"/>
      <c r="D12" s="162"/>
      <c r="E12" s="162"/>
      <c r="F12" s="162"/>
      <c r="G12" s="23"/>
    </row>
    <row r="13" spans="1:7" s="19" customFormat="1" ht="10.5" customHeight="1" x14ac:dyDescent="0.25">
      <c r="A13" s="25"/>
      <c r="B13" s="20"/>
      <c r="C13" s="20"/>
      <c r="D13" s="21"/>
      <c r="E13" s="21"/>
      <c r="F13" s="26"/>
      <c r="G13" s="21"/>
    </row>
    <row r="14" spans="1:7" s="19" customFormat="1" ht="15.75" customHeight="1" x14ac:dyDescent="0.25">
      <c r="A14" s="163" t="s">
        <v>22</v>
      </c>
      <c r="B14" s="163"/>
      <c r="C14" s="163"/>
      <c r="D14" s="163"/>
      <c r="E14" s="163"/>
      <c r="F14" s="163"/>
      <c r="G14" s="21"/>
    </row>
    <row r="15" spans="1:7" s="19" customFormat="1" ht="15.75" customHeight="1" x14ac:dyDescent="0.25">
      <c r="A15" s="27" t="s">
        <v>23</v>
      </c>
      <c r="B15" s="28"/>
      <c r="C15" s="28"/>
      <c r="D15" s="29"/>
      <c r="E15" s="30" t="s">
        <v>24</v>
      </c>
      <c r="F15" s="31" t="s">
        <v>25</v>
      </c>
      <c r="G15" s="21"/>
    </row>
    <row r="16" spans="1:7" s="38" customFormat="1" ht="15.75" customHeight="1" x14ac:dyDescent="0.25">
      <c r="A16" s="32" t="str">
        <f>A51</f>
        <v>1. Mão-de-obra</v>
      </c>
      <c r="B16" s="33"/>
      <c r="C16" s="34"/>
      <c r="D16" s="34"/>
      <c r="E16" s="35">
        <f>+F119</f>
        <v>113401.938933834</v>
      </c>
      <c r="F16" s="36">
        <f t="shared" ref="F16:F34" si="0">IFERROR(E16/$E$35,0)</f>
        <v>0.25501980724858092</v>
      </c>
      <c r="G16" s="37"/>
    </row>
    <row r="17" spans="1:7" s="19" customFormat="1" ht="15.75" customHeight="1" x14ac:dyDescent="0.25">
      <c r="A17" s="39" t="str">
        <f>A53</f>
        <v>1.1. Coletor Turno Dia</v>
      </c>
      <c r="B17" s="40"/>
      <c r="C17" s="41"/>
      <c r="D17" s="41"/>
      <c r="E17" s="42">
        <f>F64</f>
        <v>63534.427483443709</v>
      </c>
      <c r="F17" s="36">
        <f t="shared" si="0"/>
        <v>0.14287707602539637</v>
      </c>
      <c r="G17" s="21"/>
    </row>
    <row r="18" spans="1:7" s="19" customFormat="1" ht="15.75" customHeight="1" x14ac:dyDescent="0.25">
      <c r="A18" s="39" t="str">
        <f>A66</f>
        <v>1.2. Motorista Turno do Dia</v>
      </c>
      <c r="B18" s="40"/>
      <c r="C18" s="41"/>
      <c r="D18" s="41"/>
      <c r="E18" s="42">
        <f>F79</f>
        <v>27221.670178807948</v>
      </c>
      <c r="F18" s="36">
        <f t="shared" si="0"/>
        <v>6.1216458441989204E-2</v>
      </c>
      <c r="G18" s="21"/>
    </row>
    <row r="19" spans="1:7" s="19" customFormat="1" ht="15.75" customHeight="1" x14ac:dyDescent="0.25">
      <c r="A19" s="157" t="s">
        <v>197</v>
      </c>
      <c r="B19" s="40"/>
      <c r="C19" s="41"/>
      <c r="D19" s="41"/>
      <c r="E19" s="42">
        <f>F94</f>
        <v>6051.3994715823392</v>
      </c>
      <c r="F19" s="36">
        <f t="shared" si="0"/>
        <v>1.3608468614699E-2</v>
      </c>
      <c r="G19" s="21"/>
    </row>
    <row r="20" spans="1:7" s="19" customFormat="1" ht="15.75" customHeight="1" x14ac:dyDescent="0.25">
      <c r="A20" s="39" t="str">
        <f>A96</f>
        <v>1.4. Vale Transporte</v>
      </c>
      <c r="B20" s="40"/>
      <c r="C20" s="41"/>
      <c r="D20" s="41"/>
      <c r="E20" s="42">
        <f>F103</f>
        <v>4116.6617999999999</v>
      </c>
      <c r="F20" s="36">
        <f t="shared" si="0"/>
        <v>9.2576044873107048E-3</v>
      </c>
      <c r="G20" s="21"/>
    </row>
    <row r="21" spans="1:7" s="19" customFormat="1" ht="15.75" customHeight="1" x14ac:dyDescent="0.25">
      <c r="A21" s="39" t="str">
        <f>A105</f>
        <v>1.5. Vale-refeição (diário)</v>
      </c>
      <c r="B21" s="40"/>
      <c r="C21" s="41"/>
      <c r="D21" s="41"/>
      <c r="E21" s="42">
        <f>F110</f>
        <v>12246.78</v>
      </c>
      <c r="F21" s="36">
        <f t="shared" si="0"/>
        <v>2.7540723768735873E-2</v>
      </c>
      <c r="G21" s="21"/>
    </row>
    <row r="22" spans="1:7" s="19" customFormat="1" ht="15.75" customHeight="1" x14ac:dyDescent="0.25">
      <c r="A22" s="39" t="str">
        <f>A112</f>
        <v>1.6. Benefício de Assistência ao Trabalhador (mensal)</v>
      </c>
      <c r="B22" s="40"/>
      <c r="C22" s="41"/>
      <c r="D22" s="41"/>
      <c r="E22" s="42">
        <f>F117</f>
        <v>231</v>
      </c>
      <c r="F22" s="36">
        <f t="shared" si="0"/>
        <v>5.1947591044976607E-4</v>
      </c>
      <c r="G22" s="21"/>
    </row>
    <row r="23" spans="1:7" s="38" customFormat="1" ht="15.75" customHeight="1" x14ac:dyDescent="0.25">
      <c r="A23" s="164" t="str">
        <f>A121</f>
        <v>2. Uniformes e Equipamentos de Proteção Individual</v>
      </c>
      <c r="B23" s="164"/>
      <c r="C23" s="164"/>
      <c r="D23" s="34"/>
      <c r="E23" s="35">
        <f>+F153</f>
        <v>4469</v>
      </c>
      <c r="F23" s="36">
        <f t="shared" si="0"/>
        <v>1.0049947375757595E-2</v>
      </c>
      <c r="G23" s="37"/>
    </row>
    <row r="24" spans="1:7" s="38" customFormat="1" ht="15.75" customHeight="1" x14ac:dyDescent="0.25">
      <c r="A24" s="44" t="str">
        <f>A155</f>
        <v>3. Veículos e Equipamentos</v>
      </c>
      <c r="B24" s="45"/>
      <c r="C24" s="34"/>
      <c r="D24" s="34"/>
      <c r="E24" s="35">
        <f>+F232</f>
        <v>117050.07756216438</v>
      </c>
      <c r="F24" s="36">
        <f t="shared" si="0"/>
        <v>0.26322379051870598</v>
      </c>
      <c r="G24" s="37"/>
    </row>
    <row r="25" spans="1:7" s="19" customFormat="1" ht="15.75" customHeight="1" x14ac:dyDescent="0.25">
      <c r="A25" s="46" t="str">
        <f>A157</f>
        <v>3.1. Veículo Coletor Compactador 15 m³</v>
      </c>
      <c r="B25" s="47"/>
      <c r="C25" s="41"/>
      <c r="D25" s="41"/>
      <c r="E25" s="42">
        <f>SUM(E26:E31)</f>
        <v>117050.08756216439</v>
      </c>
      <c r="F25" s="36">
        <f t="shared" si="0"/>
        <v>0.26322381300684067</v>
      </c>
      <c r="G25" s="21"/>
    </row>
    <row r="26" spans="1:7" s="19" customFormat="1" ht="15.75" customHeight="1" x14ac:dyDescent="0.25">
      <c r="A26" s="46" t="str">
        <f>A159</f>
        <v>3.1.1. Depreciação</v>
      </c>
      <c r="B26" s="47"/>
      <c r="C26" s="41"/>
      <c r="D26" s="41"/>
      <c r="E26" s="42">
        <f>F173</f>
        <v>23080.319475</v>
      </c>
      <c r="F26" s="36">
        <f t="shared" si="0"/>
        <v>5.1903333215355375E-2</v>
      </c>
      <c r="G26" s="21"/>
    </row>
    <row r="27" spans="1:7" s="19" customFormat="1" ht="15.75" customHeight="1" x14ac:dyDescent="0.25">
      <c r="A27" s="46" t="str">
        <f>A175</f>
        <v>3.1.2. Remuneração do Capital</v>
      </c>
      <c r="B27" s="47"/>
      <c r="C27" s="41"/>
      <c r="D27" s="41"/>
      <c r="E27" s="42">
        <f>F189</f>
        <v>21244.804472234773</v>
      </c>
      <c r="F27" s="36">
        <f t="shared" si="0"/>
        <v>4.7775602361651175E-2</v>
      </c>
      <c r="G27" s="21"/>
    </row>
    <row r="28" spans="1:7" s="19" customFormat="1" ht="15.75" customHeight="1" x14ac:dyDescent="0.25">
      <c r="A28" s="46" t="str">
        <f>A191</f>
        <v>3.1.3. Impostos, Taxas e Seguros</v>
      </c>
      <c r="B28" s="47"/>
      <c r="C28" s="41"/>
      <c r="D28" s="41"/>
      <c r="E28" s="42">
        <f>F197</f>
        <v>7477.2687500000002</v>
      </c>
      <c r="F28" s="36">
        <f t="shared" si="0"/>
        <v>1.6814982647549066E-2</v>
      </c>
      <c r="G28" s="21"/>
    </row>
    <row r="29" spans="1:7" s="19" customFormat="1" ht="15.75" customHeight="1" x14ac:dyDescent="0.25">
      <c r="A29" s="46" t="str">
        <f>A199</f>
        <v>3.1.4. Consumos</v>
      </c>
      <c r="B29" s="47"/>
      <c r="C29" s="41"/>
      <c r="D29" s="41"/>
      <c r="E29" s="42">
        <f>F215</f>
        <v>49839.128649544997</v>
      </c>
      <c r="F29" s="36">
        <f t="shared" si="0"/>
        <v>0.11207890359846497</v>
      </c>
      <c r="G29" s="21"/>
    </row>
    <row r="30" spans="1:7" s="19" customFormat="1" ht="15.75" customHeight="1" x14ac:dyDescent="0.25">
      <c r="A30" s="46" t="str">
        <f>A217</f>
        <v>3.1.5. Manutenção</v>
      </c>
      <c r="B30" s="47"/>
      <c r="C30" s="41"/>
      <c r="D30" s="41"/>
      <c r="E30" s="42">
        <f>F220</f>
        <v>9798.4140000000007</v>
      </c>
      <c r="F30" s="36">
        <f t="shared" si="0"/>
        <v>2.2034805340319197E-2</v>
      </c>
      <c r="G30" s="21"/>
    </row>
    <row r="31" spans="1:7" s="19" customFormat="1" ht="15.75" customHeight="1" x14ac:dyDescent="0.25">
      <c r="A31" s="46" t="str">
        <f>A222</f>
        <v>3.1.6. Pneus</v>
      </c>
      <c r="B31" s="47"/>
      <c r="C31" s="41"/>
      <c r="D31" s="41"/>
      <c r="E31" s="42">
        <f>F229</f>
        <v>5610.1522153846154</v>
      </c>
      <c r="F31" s="36">
        <f t="shared" si="0"/>
        <v>1.2616185843500846E-2</v>
      </c>
      <c r="G31" s="21"/>
    </row>
    <row r="32" spans="1:7" s="38" customFormat="1" ht="15.75" customHeight="1" x14ac:dyDescent="0.25">
      <c r="A32" s="44" t="str">
        <f>A234</f>
        <v>4. Ferramentas e Materiais de Consumo</v>
      </c>
      <c r="B32" s="45"/>
      <c r="C32" s="34"/>
      <c r="D32" s="34"/>
      <c r="E32" s="35">
        <f>+F247</f>
        <v>97573.409999999989</v>
      </c>
      <c r="F32" s="36">
        <f t="shared" si="0"/>
        <v>0.21942439824865068</v>
      </c>
      <c r="G32" s="37"/>
    </row>
    <row r="33" spans="1:7" s="38" customFormat="1" ht="15.75" customHeight="1" x14ac:dyDescent="0.25">
      <c r="A33" s="44" t="str">
        <f>A249</f>
        <v>5. Monitoramento da Frota</v>
      </c>
      <c r="B33" s="45"/>
      <c r="C33" s="34"/>
      <c r="D33" s="34"/>
      <c r="E33" s="35">
        <f>+F258</f>
        <v>50.4</v>
      </c>
      <c r="F33" s="36">
        <f t="shared" si="0"/>
        <v>1.1334019864358533E-4</v>
      </c>
      <c r="G33" s="37"/>
    </row>
    <row r="34" spans="1:7" s="38" customFormat="1" ht="15.75" customHeight="1" x14ac:dyDescent="0.25">
      <c r="A34" s="44" t="str">
        <f>A262</f>
        <v>6. Benefícios e Despesas Indiretas - BDI</v>
      </c>
      <c r="B34" s="45"/>
      <c r="C34" s="34"/>
      <c r="D34" s="34"/>
      <c r="E34" s="49">
        <f>+F268</f>
        <v>112134.11886645066</v>
      </c>
      <c r="F34" s="36">
        <f t="shared" si="0"/>
        <v>0.25216871640966126</v>
      </c>
      <c r="G34" s="37"/>
    </row>
    <row r="35" spans="1:7" s="19" customFormat="1" ht="15.75" customHeight="1" x14ac:dyDescent="0.25">
      <c r="A35" s="50" t="s">
        <v>26</v>
      </c>
      <c r="B35" s="51"/>
      <c r="C35" s="52"/>
      <c r="D35" s="52"/>
      <c r="E35" s="156">
        <f>E16+E23+E24+E32+E33+E34</f>
        <v>444678.94536244904</v>
      </c>
      <c r="F35" s="54">
        <f>F16+F23+F24+F32+F33+F34</f>
        <v>1</v>
      </c>
      <c r="G35" s="21"/>
    </row>
    <row r="38" spans="1:7" s="19" customFormat="1" ht="15" customHeight="1" x14ac:dyDescent="0.25">
      <c r="A38" s="163" t="s">
        <v>27</v>
      </c>
      <c r="B38" s="163"/>
      <c r="C38" s="163"/>
      <c r="D38" s="163"/>
      <c r="E38" s="163"/>
      <c r="F38" s="15"/>
      <c r="G38" s="21"/>
    </row>
    <row r="39" spans="1:7" s="19" customFormat="1" ht="15" customHeight="1" x14ac:dyDescent="0.25">
      <c r="A39" s="159" t="s">
        <v>28</v>
      </c>
      <c r="B39" s="159"/>
      <c r="C39" s="159"/>
      <c r="D39" s="159"/>
      <c r="E39" s="55" t="s">
        <v>29</v>
      </c>
      <c r="F39" s="15"/>
      <c r="G39" s="21"/>
    </row>
    <row r="40" spans="1:7" s="19" customFormat="1" ht="15" customHeight="1" x14ac:dyDescent="0.25">
      <c r="A40" s="56" t="str">
        <f>+A53</f>
        <v>1.1. Coletor Turno Dia</v>
      </c>
      <c r="B40" s="57"/>
      <c r="C40" s="57"/>
      <c r="D40" s="58"/>
      <c r="E40" s="59">
        <v>15</v>
      </c>
      <c r="F40" s="15"/>
      <c r="G40" s="21"/>
    </row>
    <row r="41" spans="1:7" s="19" customFormat="1" ht="15" customHeight="1" x14ac:dyDescent="0.25">
      <c r="A41" s="60" t="str">
        <f>+A66</f>
        <v>1.2. Motorista Turno do Dia</v>
      </c>
      <c r="B41" s="61"/>
      <c r="C41" s="61"/>
      <c r="D41" s="62"/>
      <c r="E41" s="63">
        <f>C78</f>
        <v>5</v>
      </c>
      <c r="F41" s="15"/>
      <c r="G41" s="21"/>
    </row>
    <row r="42" spans="1:7" s="19" customFormat="1" ht="15" customHeight="1" x14ac:dyDescent="0.25">
      <c r="A42" s="60" t="str">
        <f>A81</f>
        <v>1.3. Fiscal Turno do Dia</v>
      </c>
      <c r="B42" s="61"/>
      <c r="C42" s="61"/>
      <c r="D42" s="62"/>
      <c r="E42" s="63">
        <f>C93</f>
        <v>1</v>
      </c>
      <c r="F42" s="15"/>
      <c r="G42" s="21"/>
    </row>
    <row r="43" spans="1:7" s="19" customFormat="1" ht="15" customHeight="1" x14ac:dyDescent="0.25">
      <c r="A43" s="64" t="s">
        <v>30</v>
      </c>
      <c r="B43" s="65"/>
      <c r="C43" s="65"/>
      <c r="D43" s="66"/>
      <c r="E43" s="67">
        <f>SUM(E40:E42)</f>
        <v>21</v>
      </c>
      <c r="F43" s="15"/>
      <c r="G43" s="21"/>
    </row>
    <row r="44" spans="1:7" s="19" customFormat="1" ht="15" customHeight="1" x14ac:dyDescent="0.25">
      <c r="A44" s="68"/>
      <c r="B44" s="69"/>
      <c r="C44" s="15"/>
      <c r="D44" s="15"/>
      <c r="E44" s="70"/>
      <c r="F44" s="15"/>
      <c r="G44" s="21"/>
    </row>
    <row r="45" spans="1:7" s="19" customFormat="1" ht="15" customHeight="1" x14ac:dyDescent="0.25">
      <c r="A45" s="160" t="s">
        <v>31</v>
      </c>
      <c r="B45" s="160"/>
      <c r="C45" s="160"/>
      <c r="D45" s="160"/>
      <c r="E45" s="55" t="s">
        <v>29</v>
      </c>
      <c r="F45" s="14"/>
      <c r="G45" s="21"/>
    </row>
    <row r="46" spans="1:7" s="19" customFormat="1" ht="15" customHeight="1" x14ac:dyDescent="0.25">
      <c r="A46" s="71" t="str">
        <f>+A157</f>
        <v>3.1. Veículo Coletor Compactador 15 m³</v>
      </c>
      <c r="B46" s="72"/>
      <c r="C46" s="72"/>
      <c r="D46" s="73"/>
      <c r="E46" s="74">
        <f>C172</f>
        <v>6</v>
      </c>
      <c r="F46" s="14"/>
      <c r="G46" s="21"/>
    </row>
    <row r="47" spans="1:7" s="19" customFormat="1" ht="15" customHeight="1" x14ac:dyDescent="0.25">
      <c r="A47" s="15"/>
      <c r="B47" s="15"/>
      <c r="C47" s="15"/>
      <c r="D47" s="14"/>
      <c r="E47" s="75"/>
      <c r="F47" s="14"/>
      <c r="G47" s="21"/>
    </row>
    <row r="48" spans="1:7" s="19" customFormat="1" x14ac:dyDescent="0.25">
      <c r="A48" s="15"/>
      <c r="B48" s="15"/>
      <c r="C48" s="15"/>
      <c r="D48" s="14"/>
      <c r="E48" s="76"/>
      <c r="F48" s="14"/>
      <c r="G48" s="21"/>
    </row>
    <row r="49" spans="1:7" s="38" customFormat="1" ht="15.75" customHeight="1" x14ac:dyDescent="0.25">
      <c r="A49" s="77" t="s">
        <v>32</v>
      </c>
      <c r="B49" s="78">
        <v>1</v>
      </c>
      <c r="C49" s="37"/>
      <c r="E49" s="79"/>
      <c r="G49" s="37"/>
    </row>
    <row r="50" spans="1:7" s="19" customFormat="1" ht="15.75" customHeight="1" x14ac:dyDescent="0.25">
      <c r="A50" s="15"/>
      <c r="B50" s="15"/>
      <c r="C50" s="15"/>
      <c r="D50" s="14"/>
      <c r="E50" s="76"/>
      <c r="F50" s="14"/>
      <c r="G50" s="21"/>
    </row>
    <row r="51" spans="1:7" ht="12.75" customHeight="1" x14ac:dyDescent="0.25">
      <c r="A51" s="38" t="s">
        <v>33</v>
      </c>
    </row>
    <row r="52" spans="1:7" ht="11.25" customHeight="1" x14ac:dyDescent="0.25"/>
    <row r="53" spans="1:7" ht="13.5" customHeight="1" x14ac:dyDescent="0.25">
      <c r="A53" s="14" t="s">
        <v>34</v>
      </c>
    </row>
    <row r="54" spans="1:7" ht="13.5" customHeight="1" x14ac:dyDescent="0.25">
      <c r="A54" s="80" t="s">
        <v>35</v>
      </c>
      <c r="B54" s="81" t="s">
        <v>36</v>
      </c>
      <c r="C54" s="81" t="s">
        <v>29</v>
      </c>
      <c r="D54" s="82" t="s">
        <v>37</v>
      </c>
      <c r="E54" s="82" t="s">
        <v>38</v>
      </c>
      <c r="F54" s="83" t="s">
        <v>39</v>
      </c>
    </row>
    <row r="55" spans="1:7" ht="12.75" customHeight="1" x14ac:dyDescent="0.25">
      <c r="A55" s="84" t="s">
        <v>40</v>
      </c>
      <c r="B55" s="85" t="s">
        <v>41</v>
      </c>
      <c r="C55" s="85">
        <v>1</v>
      </c>
      <c r="D55" s="86">
        <v>1730</v>
      </c>
      <c r="E55" s="86">
        <f>C55*D55</f>
        <v>1730</v>
      </c>
    </row>
    <row r="56" spans="1:7" x14ac:dyDescent="0.25">
      <c r="A56" s="87" t="s">
        <v>42</v>
      </c>
      <c r="B56" s="3" t="s">
        <v>43</v>
      </c>
      <c r="C56" s="88">
        <f>[1]Feriados!C$32</f>
        <v>6.7466666666666697</v>
      </c>
      <c r="D56" s="89">
        <f>D55/220*2</f>
        <v>15.727272727272727</v>
      </c>
      <c r="E56" s="89">
        <f>C56*D56</f>
        <v>106.10666666666671</v>
      </c>
      <c r="G56" s="15" t="s">
        <v>44</v>
      </c>
    </row>
    <row r="57" spans="1:7" ht="12.75" customHeight="1" x14ac:dyDescent="0.25">
      <c r="A57" s="87" t="s">
        <v>45</v>
      </c>
      <c r="B57" s="3" t="s">
        <v>43</v>
      </c>
      <c r="C57" s="88"/>
      <c r="D57" s="89">
        <f>D55/220*1.5</f>
        <v>11.795454545454545</v>
      </c>
      <c r="E57" s="89">
        <f>C57*D57</f>
        <v>0</v>
      </c>
      <c r="G57" s="15" t="s">
        <v>46</v>
      </c>
    </row>
    <row r="58" spans="1:7" ht="12.75" customHeight="1" x14ac:dyDescent="0.25">
      <c r="A58" s="87" t="s">
        <v>47</v>
      </c>
      <c r="B58" s="3" t="s">
        <v>48</v>
      </c>
      <c r="D58" s="89">
        <f>63/302*(SUM(E56:E57))</f>
        <v>22.134834437086102</v>
      </c>
      <c r="E58" s="89">
        <f>D58</f>
        <v>22.134834437086102</v>
      </c>
      <c r="G58" s="15" t="s">
        <v>49</v>
      </c>
    </row>
    <row r="59" spans="1:7" x14ac:dyDescent="0.25">
      <c r="A59" s="87" t="s">
        <v>50</v>
      </c>
      <c r="B59" s="3" t="s">
        <v>25</v>
      </c>
      <c r="C59" s="3">
        <v>40</v>
      </c>
      <c r="D59" s="89">
        <v>1518</v>
      </c>
      <c r="E59" s="89">
        <f>C59*D59/100</f>
        <v>607.20000000000005</v>
      </c>
    </row>
    <row r="60" spans="1:7" x14ac:dyDescent="0.25">
      <c r="A60" s="90" t="s">
        <v>51</v>
      </c>
      <c r="B60" s="13"/>
      <c r="C60" s="13"/>
      <c r="D60" s="91"/>
      <c r="E60" s="92">
        <f>SUM(E55:E59)</f>
        <v>2465.4415011037527</v>
      </c>
    </row>
    <row r="61" spans="1:7" x14ac:dyDescent="0.25">
      <c r="A61" s="87" t="s">
        <v>52</v>
      </c>
      <c r="B61" s="3" t="s">
        <v>25</v>
      </c>
      <c r="C61" s="89">
        <v>71.8</v>
      </c>
      <c r="D61" s="89">
        <f>E60</f>
        <v>2465.4415011037527</v>
      </c>
      <c r="E61" s="89">
        <f>D61*C61/100</f>
        <v>1770.1869977924944</v>
      </c>
    </row>
    <row r="62" spans="1:7" x14ac:dyDescent="0.25">
      <c r="A62" s="90" t="s">
        <v>53</v>
      </c>
      <c r="B62" s="13"/>
      <c r="C62" s="13"/>
      <c r="D62" s="91"/>
      <c r="E62" s="92">
        <f>E60+E61</f>
        <v>4235.628498896247</v>
      </c>
    </row>
    <row r="63" spans="1:7" x14ac:dyDescent="0.25">
      <c r="A63" s="87" t="s">
        <v>54</v>
      </c>
      <c r="B63" s="3" t="s">
        <v>55</v>
      </c>
      <c r="C63" s="3">
        <v>15</v>
      </c>
      <c r="D63" s="89">
        <f>E62</f>
        <v>4235.628498896247</v>
      </c>
      <c r="E63" s="89">
        <f>C63*D63</f>
        <v>63534.427483443709</v>
      </c>
      <c r="G63" s="21"/>
    </row>
    <row r="64" spans="1:7" ht="13.5" customHeight="1" x14ac:dyDescent="0.25">
      <c r="D64" s="93" t="s">
        <v>56</v>
      </c>
      <c r="E64" s="94">
        <f>$B$49</f>
        <v>1</v>
      </c>
      <c r="F64" s="95">
        <f>E63*E64</f>
        <v>63534.427483443709</v>
      </c>
      <c r="G64" s="21"/>
    </row>
    <row r="65" spans="1:7" ht="11.25" customHeight="1" x14ac:dyDescent="0.25"/>
    <row r="66" spans="1:7" x14ac:dyDescent="0.25">
      <c r="A66" s="14" t="s">
        <v>57</v>
      </c>
    </row>
    <row r="67" spans="1:7" s="96" customFormat="1" ht="12.75" customHeight="1" x14ac:dyDescent="0.25">
      <c r="A67" s="80" t="s">
        <v>35</v>
      </c>
      <c r="B67" s="81" t="s">
        <v>36</v>
      </c>
      <c r="C67" s="81" t="s">
        <v>29</v>
      </c>
      <c r="D67" s="82" t="s">
        <v>37</v>
      </c>
      <c r="E67" s="82" t="s">
        <v>38</v>
      </c>
      <c r="F67" s="83" t="s">
        <v>39</v>
      </c>
      <c r="G67" s="15"/>
    </row>
    <row r="68" spans="1:7" x14ac:dyDescent="0.25">
      <c r="A68" s="84" t="s">
        <v>58</v>
      </c>
      <c r="B68" s="85" t="s">
        <v>41</v>
      </c>
      <c r="C68" s="85">
        <v>1</v>
      </c>
      <c r="D68" s="86">
        <v>2385</v>
      </c>
      <c r="E68" s="86">
        <f>C68*D68</f>
        <v>2385</v>
      </c>
    </row>
    <row r="69" spans="1:7" x14ac:dyDescent="0.25">
      <c r="A69" s="84" t="s">
        <v>59</v>
      </c>
      <c r="B69" s="85" t="s">
        <v>41</v>
      </c>
      <c r="C69" s="85">
        <v>1</v>
      </c>
      <c r="D69" s="86">
        <v>1518</v>
      </c>
      <c r="E69" s="86"/>
    </row>
    <row r="70" spans="1:7" x14ac:dyDescent="0.25">
      <c r="A70" s="87" t="s">
        <v>42</v>
      </c>
      <c r="B70" s="3" t="s">
        <v>43</v>
      </c>
      <c r="C70" s="88">
        <f>[1]Feriados!C$32</f>
        <v>6.7466666666666697</v>
      </c>
      <c r="D70" s="89">
        <f>D68/220*2</f>
        <v>21.681818181818183</v>
      </c>
      <c r="E70" s="89">
        <f>C70*D70</f>
        <v>146.28000000000009</v>
      </c>
      <c r="G70" s="15" t="s">
        <v>44</v>
      </c>
    </row>
    <row r="71" spans="1:7" x14ac:dyDescent="0.25">
      <c r="A71" s="87" t="s">
        <v>45</v>
      </c>
      <c r="B71" s="3" t="s">
        <v>43</v>
      </c>
      <c r="C71" s="88"/>
      <c r="D71" s="89">
        <f>D68/220*1.5</f>
        <v>16.261363636363637</v>
      </c>
      <c r="E71" s="89">
        <f>C71*D71</f>
        <v>0</v>
      </c>
      <c r="G71" s="15" t="s">
        <v>46</v>
      </c>
    </row>
    <row r="72" spans="1:7" ht="12.75" customHeight="1" x14ac:dyDescent="0.25">
      <c r="A72" s="87" t="s">
        <v>47</v>
      </c>
      <c r="B72" s="3" t="s">
        <v>48</v>
      </c>
      <c r="D72" s="89">
        <f>63/302*(SUM(E70:E71))</f>
        <v>30.515364238410616</v>
      </c>
      <c r="E72" s="89">
        <f>D72</f>
        <v>30.515364238410616</v>
      </c>
      <c r="G72" s="15" t="s">
        <v>49</v>
      </c>
    </row>
    <row r="73" spans="1:7" x14ac:dyDescent="0.25">
      <c r="A73" s="87" t="s">
        <v>60</v>
      </c>
      <c r="B73" s="3"/>
      <c r="C73" s="97">
        <v>1</v>
      </c>
      <c r="D73" s="89"/>
      <c r="E73" s="89"/>
    </row>
    <row r="74" spans="1:7" x14ac:dyDescent="0.25">
      <c r="A74" s="87" t="s">
        <v>50</v>
      </c>
      <c r="B74" s="3" t="s">
        <v>25</v>
      </c>
      <c r="C74" s="3">
        <v>40</v>
      </c>
      <c r="D74" s="89">
        <v>1518</v>
      </c>
      <c r="E74" s="89">
        <f>C74*D74/100</f>
        <v>607.20000000000005</v>
      </c>
    </row>
    <row r="75" spans="1:7" s="38" customFormat="1" x14ac:dyDescent="0.25">
      <c r="A75" s="98" t="s">
        <v>51</v>
      </c>
      <c r="B75" s="13"/>
      <c r="C75" s="13"/>
      <c r="D75" s="91"/>
      <c r="E75" s="99">
        <f>SUM(E68:E74)</f>
        <v>3168.9953642384107</v>
      </c>
      <c r="F75" s="37"/>
      <c r="G75" s="37"/>
    </row>
    <row r="76" spans="1:7" x14ac:dyDescent="0.25">
      <c r="A76" s="87" t="s">
        <v>52</v>
      </c>
      <c r="B76" s="3" t="s">
        <v>25</v>
      </c>
      <c r="C76" s="89">
        <v>71.8</v>
      </c>
      <c r="D76" s="89">
        <f>E75</f>
        <v>3168.9953642384107</v>
      </c>
      <c r="E76" s="89">
        <f>D76*C76/100</f>
        <v>2275.3386715231791</v>
      </c>
    </row>
    <row r="77" spans="1:7" s="38" customFormat="1" x14ac:dyDescent="0.25">
      <c r="A77" s="98" t="s">
        <v>61</v>
      </c>
      <c r="B77" s="100"/>
      <c r="C77" s="100"/>
      <c r="D77" s="101"/>
      <c r="E77" s="99">
        <f>E75+E76</f>
        <v>5444.3340357615898</v>
      </c>
      <c r="F77" s="37"/>
      <c r="G77" s="37"/>
    </row>
    <row r="78" spans="1:7" x14ac:dyDescent="0.25">
      <c r="A78" s="87" t="s">
        <v>54</v>
      </c>
      <c r="B78" s="3" t="s">
        <v>55</v>
      </c>
      <c r="C78" s="3">
        <v>5</v>
      </c>
      <c r="D78" s="89">
        <f>E77</f>
        <v>5444.3340357615898</v>
      </c>
      <c r="E78" s="89">
        <f>C78*D78</f>
        <v>27221.670178807948</v>
      </c>
    </row>
    <row r="79" spans="1:7" x14ac:dyDescent="0.25">
      <c r="D79" s="93" t="s">
        <v>56</v>
      </c>
      <c r="E79" s="94">
        <f>$B$49</f>
        <v>1</v>
      </c>
      <c r="F79" s="95">
        <f>E78*E79</f>
        <v>27221.670178807948</v>
      </c>
    </row>
    <row r="80" spans="1:7" ht="11.25" customHeight="1" x14ac:dyDescent="0.25"/>
    <row r="81" spans="1:8" x14ac:dyDescent="0.25">
      <c r="A81" s="14" t="s">
        <v>62</v>
      </c>
    </row>
    <row r="82" spans="1:8" s="96" customFormat="1" ht="12.75" customHeight="1" x14ac:dyDescent="0.25">
      <c r="A82" s="80" t="s">
        <v>35</v>
      </c>
      <c r="B82" s="81" t="s">
        <v>36</v>
      </c>
      <c r="C82" s="81" t="s">
        <v>29</v>
      </c>
      <c r="D82" s="154" t="s">
        <v>37</v>
      </c>
      <c r="E82" s="82" t="s">
        <v>38</v>
      </c>
      <c r="F82" s="83" t="s">
        <v>39</v>
      </c>
      <c r="G82" s="15"/>
    </row>
    <row r="83" spans="1:8" x14ac:dyDescent="0.25">
      <c r="A83" s="84" t="s">
        <v>58</v>
      </c>
      <c r="B83" s="85" t="s">
        <v>41</v>
      </c>
      <c r="C83" s="85">
        <v>1</v>
      </c>
      <c r="D83" s="86">
        <v>2713.97</v>
      </c>
      <c r="E83" s="86">
        <f>C83*D83</f>
        <v>2713.97</v>
      </c>
    </row>
    <row r="84" spans="1:8" x14ac:dyDescent="0.25">
      <c r="A84" s="84" t="s">
        <v>59</v>
      </c>
      <c r="B84" s="85" t="s">
        <v>41</v>
      </c>
      <c r="C84" s="85">
        <v>1</v>
      </c>
      <c r="D84" s="86">
        <v>1518</v>
      </c>
      <c r="E84" s="86"/>
    </row>
    <row r="85" spans="1:8" x14ac:dyDescent="0.25">
      <c r="A85" s="87" t="s">
        <v>42</v>
      </c>
      <c r="B85" s="3" t="s">
        <v>43</v>
      </c>
      <c r="C85" s="88">
        <f>[1]Feriados!C$32</f>
        <v>6.7466666666666697</v>
      </c>
      <c r="D85" s="89">
        <f>D83/220*2</f>
        <v>24.672454545454542</v>
      </c>
      <c r="E85" s="89">
        <f>C85*D85</f>
        <v>166.45682666666673</v>
      </c>
      <c r="G85" s="15" t="s">
        <v>44</v>
      </c>
    </row>
    <row r="86" spans="1:8" x14ac:dyDescent="0.25">
      <c r="A86" s="87" t="s">
        <v>45</v>
      </c>
      <c r="B86" s="3" t="s">
        <v>43</v>
      </c>
      <c r="C86" s="88"/>
      <c r="D86" s="89">
        <f>D83/220*1.5</f>
        <v>18.504340909090907</v>
      </c>
      <c r="E86" s="89">
        <f>C86*D86</f>
        <v>0</v>
      </c>
      <c r="G86" s="15" t="s">
        <v>46</v>
      </c>
    </row>
    <row r="87" spans="1:8" ht="12.75" customHeight="1" x14ac:dyDescent="0.25">
      <c r="A87" s="87" t="s">
        <v>47</v>
      </c>
      <c r="B87" s="3" t="s">
        <v>48</v>
      </c>
      <c r="D87" s="89">
        <f>63/302*(SUM(E85:E86))</f>
        <v>34.724437350993391</v>
      </c>
      <c r="E87" s="89">
        <f>D87</f>
        <v>34.724437350993391</v>
      </c>
      <c r="G87" s="15" t="s">
        <v>49</v>
      </c>
    </row>
    <row r="88" spans="1:8" x14ac:dyDescent="0.25">
      <c r="A88" s="87" t="s">
        <v>60</v>
      </c>
      <c r="B88" s="3"/>
      <c r="C88" s="97">
        <v>2</v>
      </c>
      <c r="D88" s="89"/>
      <c r="E88" s="89"/>
    </row>
    <row r="89" spans="1:8" x14ac:dyDescent="0.25">
      <c r="A89" s="87" t="s">
        <v>50</v>
      </c>
      <c r="B89" s="3" t="s">
        <v>25</v>
      </c>
      <c r="C89" s="3">
        <v>40</v>
      </c>
      <c r="D89" s="89">
        <v>1518</v>
      </c>
      <c r="E89" s="89">
        <f>C89*D89/100</f>
        <v>607.20000000000005</v>
      </c>
    </row>
    <row r="90" spans="1:8" s="38" customFormat="1" x14ac:dyDescent="0.25">
      <c r="A90" s="98" t="s">
        <v>51</v>
      </c>
      <c r="B90" s="13"/>
      <c r="C90" s="13"/>
      <c r="D90" s="91"/>
      <c r="E90" s="99">
        <f>SUM(E83:E89)</f>
        <v>3522.3512640176596</v>
      </c>
      <c r="F90" s="37"/>
      <c r="G90" s="37"/>
    </row>
    <row r="91" spans="1:8" x14ac:dyDescent="0.25">
      <c r="A91" s="87" t="s">
        <v>52</v>
      </c>
      <c r="B91" s="3" t="s">
        <v>25</v>
      </c>
      <c r="C91" s="89">
        <v>71.8</v>
      </c>
      <c r="D91" s="89">
        <f>E90</f>
        <v>3522.3512640176596</v>
      </c>
      <c r="E91" s="89">
        <f>D91*C91/100</f>
        <v>2529.0482075646792</v>
      </c>
    </row>
    <row r="92" spans="1:8" s="38" customFormat="1" x14ac:dyDescent="0.25">
      <c r="A92" s="98" t="s">
        <v>61</v>
      </c>
      <c r="B92" s="100"/>
      <c r="C92" s="100"/>
      <c r="D92" s="101"/>
      <c r="E92" s="99">
        <f>E90+E91</f>
        <v>6051.3994715823392</v>
      </c>
      <c r="F92" s="37"/>
      <c r="G92" s="37"/>
    </row>
    <row r="93" spans="1:8" x14ac:dyDescent="0.25">
      <c r="A93" s="87" t="s">
        <v>54</v>
      </c>
      <c r="B93" s="3" t="s">
        <v>55</v>
      </c>
      <c r="C93" s="3">
        <v>1</v>
      </c>
      <c r="D93" s="89">
        <f>E92</f>
        <v>6051.3994715823392</v>
      </c>
      <c r="E93" s="89">
        <f>C93*D93</f>
        <v>6051.3994715823392</v>
      </c>
    </row>
    <row r="94" spans="1:8" x14ac:dyDescent="0.25">
      <c r="D94" s="93" t="s">
        <v>56</v>
      </c>
      <c r="E94" s="94">
        <f>$B$49</f>
        <v>1</v>
      </c>
      <c r="F94" s="95">
        <f>E93*E94</f>
        <v>6051.3994715823392</v>
      </c>
    </row>
    <row r="95" spans="1:8" ht="11.25" customHeight="1" x14ac:dyDescent="0.25">
      <c r="H95" s="14" t="s">
        <v>63</v>
      </c>
    </row>
    <row r="96" spans="1:8" x14ac:dyDescent="0.25">
      <c r="A96" s="14" t="s">
        <v>64</v>
      </c>
      <c r="B96" s="102"/>
      <c r="D96" s="14"/>
      <c r="E96" s="14"/>
      <c r="G96" s="14"/>
    </row>
    <row r="97" spans="1:7" x14ac:dyDescent="0.25">
      <c r="A97" s="80" t="s">
        <v>35</v>
      </c>
      <c r="B97" s="81" t="s">
        <v>36</v>
      </c>
      <c r="C97" s="81" t="s">
        <v>29</v>
      </c>
      <c r="D97" s="82" t="s">
        <v>37</v>
      </c>
      <c r="E97" s="82" t="s">
        <v>38</v>
      </c>
      <c r="F97" s="83" t="s">
        <v>39</v>
      </c>
      <c r="G97" s="14"/>
    </row>
    <row r="98" spans="1:7" x14ac:dyDescent="0.25">
      <c r="A98" s="87" t="s">
        <v>65</v>
      </c>
      <c r="B98" s="3" t="s">
        <v>48</v>
      </c>
      <c r="C98" s="103">
        <v>1</v>
      </c>
      <c r="D98" s="15">
        <v>6</v>
      </c>
      <c r="E98" s="89"/>
      <c r="G98" s="14"/>
    </row>
    <row r="99" spans="1:7" x14ac:dyDescent="0.25">
      <c r="A99" s="87" t="s">
        <v>66</v>
      </c>
      <c r="B99" s="3" t="s">
        <v>67</v>
      </c>
      <c r="C99" s="14">
        <v>26</v>
      </c>
      <c r="D99" s="89"/>
      <c r="E99" s="89"/>
      <c r="G99" s="14"/>
    </row>
    <row r="100" spans="1:7" x14ac:dyDescent="0.25">
      <c r="A100" s="87" t="s">
        <v>68</v>
      </c>
      <c r="B100" s="3" t="s">
        <v>69</v>
      </c>
      <c r="C100" s="104">
        <f>$C$99*2*(C63)</f>
        <v>780</v>
      </c>
      <c r="D100" s="86">
        <f>IFERROR((($C$99*2*$D$98)-(E55*0.06*C99/26))/($C$99*2),"-")</f>
        <v>4.0038461538461538</v>
      </c>
      <c r="E100" s="89">
        <f>IFERROR(C100*D100,"-")</f>
        <v>3123</v>
      </c>
      <c r="G100" s="14"/>
    </row>
    <row r="101" spans="1:7" x14ac:dyDescent="0.25">
      <c r="A101" s="87" t="s">
        <v>70</v>
      </c>
      <c r="B101" s="3" t="s">
        <v>69</v>
      </c>
      <c r="C101" s="104">
        <f>$C$99*2*(C78)</f>
        <v>260</v>
      </c>
      <c r="D101" s="89">
        <f>IFERROR((($C$99*2*$D$98)-(E68*0.06*C99/26))/($C$99*2),"-")</f>
        <v>3.2480769230769231</v>
      </c>
      <c r="E101" s="89">
        <f>IFERROR(C101*D101,"-")</f>
        <v>844.5</v>
      </c>
      <c r="G101" s="14"/>
    </row>
    <row r="102" spans="1:7" x14ac:dyDescent="0.25">
      <c r="A102" s="87" t="s">
        <v>71</v>
      </c>
      <c r="B102" s="3" t="s">
        <v>69</v>
      </c>
      <c r="C102" s="104">
        <f>$C$99*2*(C93)</f>
        <v>52</v>
      </c>
      <c r="D102" s="89">
        <f>IFERROR((($C$99*2*$D$98)-(E83*0.06*C99/26))/($C$99*2),"-")</f>
        <v>2.8684961538461544</v>
      </c>
      <c r="E102" s="89">
        <f>IFERROR(C102*D102,"-")</f>
        <v>149.16180000000003</v>
      </c>
      <c r="G102" s="14"/>
    </row>
    <row r="103" spans="1:7" x14ac:dyDescent="0.25">
      <c r="F103" s="105">
        <f>SUM(E100:E102)</f>
        <v>4116.6617999999999</v>
      </c>
      <c r="G103" s="14"/>
    </row>
    <row r="104" spans="1:7" ht="11.25" customHeight="1" x14ac:dyDescent="0.25">
      <c r="G104" s="14"/>
    </row>
    <row r="105" spans="1:7" x14ac:dyDescent="0.25">
      <c r="A105" s="14" t="s">
        <v>72</v>
      </c>
      <c r="F105" s="37"/>
      <c r="G105" s="14"/>
    </row>
    <row r="106" spans="1:7" x14ac:dyDescent="0.25">
      <c r="A106" s="80" t="s">
        <v>35</v>
      </c>
      <c r="B106" s="81" t="s">
        <v>36</v>
      </c>
      <c r="C106" s="81" t="s">
        <v>29</v>
      </c>
      <c r="D106" s="154" t="s">
        <v>37</v>
      </c>
      <c r="E106" s="82" t="s">
        <v>38</v>
      </c>
      <c r="F106" s="83" t="s">
        <v>39</v>
      </c>
      <c r="G106" s="14"/>
    </row>
    <row r="107" spans="1:7" x14ac:dyDescent="0.25">
      <c r="A107" s="87" t="str">
        <f>+A100</f>
        <v>Coletor</v>
      </c>
      <c r="B107" s="3" t="s">
        <v>73</v>
      </c>
      <c r="C107" s="104">
        <f>C99*(E40)</f>
        <v>390</v>
      </c>
      <c r="D107" s="89">
        <v>22.43</v>
      </c>
      <c r="E107" s="94">
        <f>C107*D107</f>
        <v>8747.7000000000007</v>
      </c>
      <c r="F107" s="37"/>
      <c r="G107" s="14"/>
    </row>
    <row r="108" spans="1:7" x14ac:dyDescent="0.25">
      <c r="A108" s="87" t="str">
        <f>+A101</f>
        <v>Motorista</v>
      </c>
      <c r="B108" s="3" t="s">
        <v>73</v>
      </c>
      <c r="C108" s="104">
        <f>C99*(E41)</f>
        <v>130</v>
      </c>
      <c r="D108" s="89">
        <v>22.43</v>
      </c>
      <c r="E108" s="94">
        <f>C108*D108</f>
        <v>2915.9</v>
      </c>
      <c r="F108" s="37"/>
      <c r="G108" s="14"/>
    </row>
    <row r="109" spans="1:7" x14ac:dyDescent="0.25">
      <c r="A109" s="87" t="s">
        <v>71</v>
      </c>
      <c r="B109" s="3" t="s">
        <v>36</v>
      </c>
      <c r="C109" s="104">
        <f>C99*(E42)</f>
        <v>26</v>
      </c>
      <c r="D109" s="89">
        <v>22.43</v>
      </c>
      <c r="E109" s="94">
        <f>C109*D109</f>
        <v>583.17999999999995</v>
      </c>
      <c r="F109" s="37"/>
      <c r="G109" s="14"/>
    </row>
    <row r="110" spans="1:7" x14ac:dyDescent="0.25">
      <c r="F110" s="105">
        <f>SUM(E107:E109)</f>
        <v>12246.78</v>
      </c>
      <c r="G110" s="14"/>
    </row>
    <row r="111" spans="1:7" x14ac:dyDescent="0.25">
      <c r="G111" s="14"/>
    </row>
    <row r="112" spans="1:7" x14ac:dyDescent="0.25">
      <c r="A112" s="14" t="s">
        <v>74</v>
      </c>
      <c r="F112" s="37"/>
      <c r="G112" s="14"/>
    </row>
    <row r="113" spans="1:7" x14ac:dyDescent="0.25">
      <c r="A113" s="80" t="s">
        <v>35</v>
      </c>
      <c r="B113" s="81" t="s">
        <v>36</v>
      </c>
      <c r="C113" s="81" t="s">
        <v>29</v>
      </c>
      <c r="D113" s="154" t="s">
        <v>37</v>
      </c>
      <c r="E113" s="82" t="s">
        <v>38</v>
      </c>
      <c r="F113" s="83" t="s">
        <v>39</v>
      </c>
      <c r="G113" s="14"/>
    </row>
    <row r="114" spans="1:7" x14ac:dyDescent="0.25">
      <c r="A114" s="87" t="str">
        <f>+A107</f>
        <v>Coletor</v>
      </c>
      <c r="B114" s="3" t="s">
        <v>73</v>
      </c>
      <c r="C114" s="104">
        <f>E40</f>
        <v>15</v>
      </c>
      <c r="D114" s="89">
        <v>11</v>
      </c>
      <c r="E114" s="94">
        <f>C114*D114</f>
        <v>165</v>
      </c>
      <c r="F114" s="37"/>
      <c r="G114" s="14"/>
    </row>
    <row r="115" spans="1:7" x14ac:dyDescent="0.25">
      <c r="A115" s="87" t="str">
        <f>+A108</f>
        <v>Motorista</v>
      </c>
      <c r="B115" s="3" t="s">
        <v>73</v>
      </c>
      <c r="C115" s="104">
        <f>E41</f>
        <v>5</v>
      </c>
      <c r="D115" s="89">
        <v>11</v>
      </c>
      <c r="E115" s="94">
        <f>C115*D115</f>
        <v>55</v>
      </c>
      <c r="F115" s="37"/>
      <c r="G115" s="14"/>
    </row>
    <row r="116" spans="1:7" x14ac:dyDescent="0.25">
      <c r="A116" s="87" t="str">
        <f>+A109</f>
        <v>Fiscal</v>
      </c>
      <c r="B116" s="3" t="s">
        <v>73</v>
      </c>
      <c r="C116" s="104">
        <f>E42</f>
        <v>1</v>
      </c>
      <c r="D116" s="89">
        <v>11</v>
      </c>
      <c r="E116" s="94">
        <f>C116*D116</f>
        <v>11</v>
      </c>
      <c r="F116" s="37"/>
      <c r="G116" s="14"/>
    </row>
    <row r="117" spans="1:7" x14ac:dyDescent="0.25">
      <c r="D117" s="93" t="s">
        <v>56</v>
      </c>
      <c r="E117" s="94">
        <f>$B$49</f>
        <v>1</v>
      </c>
      <c r="F117" s="105">
        <f>SUM(E114:E116)*E117</f>
        <v>231</v>
      </c>
      <c r="G117" s="14"/>
    </row>
    <row r="118" spans="1:7" x14ac:dyDescent="0.25">
      <c r="G118" s="14"/>
    </row>
    <row r="119" spans="1:7" x14ac:dyDescent="0.25">
      <c r="A119" s="106" t="s">
        <v>75</v>
      </c>
      <c r="B119" s="107"/>
      <c r="C119" s="107"/>
      <c r="D119" s="52"/>
      <c r="E119" s="108"/>
      <c r="F119" s="105">
        <f>F117+F110+F103+F94+F79+F64</f>
        <v>113401.938933834</v>
      </c>
      <c r="G119" s="14"/>
    </row>
    <row r="121" spans="1:7" x14ac:dyDescent="0.25">
      <c r="A121" s="38" t="s">
        <v>76</v>
      </c>
      <c r="G121" s="14"/>
    </row>
    <row r="122" spans="1:7" ht="11.25" customHeight="1" x14ac:dyDescent="0.25">
      <c r="G122" s="14"/>
    </row>
    <row r="123" spans="1:7" ht="13.5" customHeight="1" x14ac:dyDescent="0.25">
      <c r="A123" s="14" t="s">
        <v>77</v>
      </c>
      <c r="G123" s="14"/>
    </row>
    <row r="124" spans="1:7" ht="11.25" customHeight="1" x14ac:dyDescent="0.25">
      <c r="G124" s="14"/>
    </row>
    <row r="125" spans="1:7" ht="27.75" customHeight="1" x14ac:dyDescent="0.25">
      <c r="A125" s="80" t="s">
        <v>35</v>
      </c>
      <c r="B125" s="81" t="s">
        <v>36</v>
      </c>
      <c r="C125" s="109" t="s">
        <v>78</v>
      </c>
      <c r="D125" s="82" t="s">
        <v>37</v>
      </c>
      <c r="E125" s="82" t="s">
        <v>38</v>
      </c>
      <c r="F125" s="83" t="s">
        <v>39</v>
      </c>
      <c r="G125" s="14"/>
    </row>
    <row r="126" spans="1:7" x14ac:dyDescent="0.25">
      <c r="A126" s="84" t="s">
        <v>79</v>
      </c>
      <c r="B126" s="85" t="s">
        <v>73</v>
      </c>
      <c r="C126" s="110">
        <v>6</v>
      </c>
      <c r="D126" s="86">
        <v>129.9</v>
      </c>
      <c r="E126" s="86">
        <f t="shared" ref="E126:E135" si="1">IFERROR(D126/C126,0)</f>
        <v>21.650000000000002</v>
      </c>
      <c r="G126" s="14"/>
    </row>
    <row r="127" spans="1:7" ht="12.75" customHeight="1" x14ac:dyDescent="0.25">
      <c r="A127" s="87" t="s">
        <v>80</v>
      </c>
      <c r="B127" s="3" t="s">
        <v>73</v>
      </c>
      <c r="C127" s="110">
        <v>4</v>
      </c>
      <c r="D127" s="86">
        <v>70.5</v>
      </c>
      <c r="E127" s="86">
        <f t="shared" si="1"/>
        <v>17.625</v>
      </c>
      <c r="G127" s="14"/>
    </row>
    <row r="128" spans="1:7" x14ac:dyDescent="0.25">
      <c r="A128" s="87" t="s">
        <v>81</v>
      </c>
      <c r="B128" s="3" t="s">
        <v>73</v>
      </c>
      <c r="C128" s="110">
        <v>4</v>
      </c>
      <c r="D128" s="86">
        <v>120</v>
      </c>
      <c r="E128" s="86">
        <f t="shared" si="1"/>
        <v>30</v>
      </c>
      <c r="G128" s="14"/>
    </row>
    <row r="129" spans="1:7" ht="12.75" customHeight="1" x14ac:dyDescent="0.25">
      <c r="A129" s="87" t="s">
        <v>82</v>
      </c>
      <c r="B129" s="3" t="s">
        <v>73</v>
      </c>
      <c r="C129" s="110">
        <v>4</v>
      </c>
      <c r="D129" s="86">
        <v>17.899999999999999</v>
      </c>
      <c r="E129" s="86">
        <f t="shared" si="1"/>
        <v>4.4749999999999996</v>
      </c>
      <c r="G129" s="14"/>
    </row>
    <row r="130" spans="1:7" ht="13.5" customHeight="1" x14ac:dyDescent="0.25">
      <c r="A130" s="87" t="s">
        <v>83</v>
      </c>
      <c r="B130" s="3" t="s">
        <v>84</v>
      </c>
      <c r="C130" s="110">
        <v>3</v>
      </c>
      <c r="D130" s="86">
        <v>59</v>
      </c>
      <c r="E130" s="86">
        <f t="shared" si="1"/>
        <v>19.666666666666668</v>
      </c>
      <c r="G130" s="14"/>
    </row>
    <row r="131" spans="1:7" ht="12.75" customHeight="1" x14ac:dyDescent="0.25">
      <c r="A131" s="87" t="s">
        <v>85</v>
      </c>
      <c r="B131" s="3" t="s">
        <v>84</v>
      </c>
      <c r="C131" s="110">
        <v>3</v>
      </c>
      <c r="D131" s="86">
        <v>17.899999999999999</v>
      </c>
      <c r="E131" s="86">
        <f t="shared" si="1"/>
        <v>5.9666666666666659</v>
      </c>
    </row>
    <row r="132" spans="1:7" x14ac:dyDescent="0.25">
      <c r="A132" s="87" t="s">
        <v>86</v>
      </c>
      <c r="B132" s="3" t="s">
        <v>73</v>
      </c>
      <c r="C132" s="110">
        <v>6</v>
      </c>
      <c r="D132" s="86">
        <v>129.9</v>
      </c>
      <c r="E132" s="86">
        <f t="shared" si="1"/>
        <v>21.650000000000002</v>
      </c>
    </row>
    <row r="133" spans="1:7" s="114" customFormat="1" x14ac:dyDescent="0.25">
      <c r="A133" s="111" t="s">
        <v>87</v>
      </c>
      <c r="B133" s="112" t="s">
        <v>73</v>
      </c>
      <c r="C133" s="110"/>
      <c r="D133" s="86"/>
      <c r="E133" s="86">
        <f t="shared" si="1"/>
        <v>0</v>
      </c>
      <c r="F133" s="113"/>
      <c r="G133" s="113"/>
    </row>
    <row r="134" spans="1:7" x14ac:dyDescent="0.25">
      <c r="A134" s="87" t="s">
        <v>88</v>
      </c>
      <c r="B134" s="3" t="s">
        <v>84</v>
      </c>
      <c r="C134" s="110">
        <v>0.25</v>
      </c>
      <c r="D134" s="86">
        <v>12.85</v>
      </c>
      <c r="E134" s="86">
        <f t="shared" si="1"/>
        <v>51.4</v>
      </c>
    </row>
    <row r="135" spans="1:7" ht="12.75" customHeight="1" x14ac:dyDescent="0.25">
      <c r="A135" s="87" t="s">
        <v>89</v>
      </c>
      <c r="B135" s="3" t="s">
        <v>90</v>
      </c>
      <c r="C135" s="110">
        <v>1</v>
      </c>
      <c r="D135" s="86">
        <v>18</v>
      </c>
      <c r="E135" s="86">
        <f t="shared" si="1"/>
        <v>18</v>
      </c>
    </row>
    <row r="136" spans="1:7" x14ac:dyDescent="0.25">
      <c r="A136" s="87" t="s">
        <v>91</v>
      </c>
      <c r="B136" s="3" t="s">
        <v>92</v>
      </c>
      <c r="C136" s="97">
        <v>1</v>
      </c>
      <c r="D136" s="86">
        <v>59.9</v>
      </c>
      <c r="E136" s="89">
        <f>C136*D136</f>
        <v>59.9</v>
      </c>
    </row>
    <row r="137" spans="1:7" x14ac:dyDescent="0.25">
      <c r="A137" s="87" t="s">
        <v>54</v>
      </c>
      <c r="B137" s="3" t="s">
        <v>55</v>
      </c>
      <c r="C137" s="97">
        <f>E40</f>
        <v>15</v>
      </c>
      <c r="D137" s="89">
        <f>+SUM(E126:E136)</f>
        <v>250.33333333333334</v>
      </c>
      <c r="E137" s="89">
        <f>D137*C137</f>
        <v>3755</v>
      </c>
    </row>
    <row r="138" spans="1:7" x14ac:dyDescent="0.25">
      <c r="D138" s="93" t="s">
        <v>56</v>
      </c>
      <c r="E138" s="94">
        <f>$B$49</f>
        <v>1</v>
      </c>
      <c r="F138" s="95">
        <f>E137*E138</f>
        <v>3755</v>
      </c>
    </row>
    <row r="139" spans="1:7" ht="11.25" customHeight="1" x14ac:dyDescent="0.25"/>
    <row r="140" spans="1:7" ht="13.5" customHeight="1" x14ac:dyDescent="0.25">
      <c r="A140" s="14" t="s">
        <v>93</v>
      </c>
    </row>
    <row r="141" spans="1:7" ht="11.25" customHeight="1" x14ac:dyDescent="0.25"/>
    <row r="142" spans="1:7" ht="24" x14ac:dyDescent="0.25">
      <c r="A142" s="80" t="s">
        <v>35</v>
      </c>
      <c r="B142" s="81" t="s">
        <v>36</v>
      </c>
      <c r="C142" s="109" t="s">
        <v>78</v>
      </c>
      <c r="D142" s="82" t="s">
        <v>37</v>
      </c>
      <c r="E142" s="82" t="s">
        <v>38</v>
      </c>
      <c r="F142" s="83" t="s">
        <v>39</v>
      </c>
    </row>
    <row r="143" spans="1:7" x14ac:dyDescent="0.25">
      <c r="A143" s="84" t="s">
        <v>79</v>
      </c>
      <c r="B143" s="85" t="s">
        <v>73</v>
      </c>
      <c r="C143" s="110">
        <v>18</v>
      </c>
      <c r="D143" s="86">
        <f>+D126</f>
        <v>129.9</v>
      </c>
      <c r="E143" s="86">
        <f t="shared" ref="E143:E148" si="2">IFERROR(D143/C143,0)</f>
        <v>7.2166666666666668</v>
      </c>
    </row>
    <row r="144" spans="1:7" x14ac:dyDescent="0.25">
      <c r="A144" s="87" t="s">
        <v>80</v>
      </c>
      <c r="B144" s="3" t="s">
        <v>73</v>
      </c>
      <c r="C144" s="110">
        <v>6</v>
      </c>
      <c r="D144" s="89">
        <f>+D127</f>
        <v>70.5</v>
      </c>
      <c r="E144" s="86">
        <f t="shared" si="2"/>
        <v>11.75</v>
      </c>
    </row>
    <row r="145" spans="1:7" x14ac:dyDescent="0.25">
      <c r="A145" s="87" t="s">
        <v>81</v>
      </c>
      <c r="B145" s="3" t="s">
        <v>73</v>
      </c>
      <c r="C145" s="110">
        <v>6</v>
      </c>
      <c r="D145" s="89">
        <f>+D128</f>
        <v>120</v>
      </c>
      <c r="E145" s="86">
        <f t="shared" si="2"/>
        <v>20</v>
      </c>
    </row>
    <row r="146" spans="1:7" x14ac:dyDescent="0.25">
      <c r="A146" s="87" t="s">
        <v>83</v>
      </c>
      <c r="B146" s="3" t="s">
        <v>84</v>
      </c>
      <c r="C146" s="110">
        <v>12</v>
      </c>
      <c r="D146" s="89">
        <f>+D130</f>
        <v>59</v>
      </c>
      <c r="E146" s="86">
        <f t="shared" si="2"/>
        <v>4.916666666666667</v>
      </c>
    </row>
    <row r="147" spans="1:7" x14ac:dyDescent="0.25">
      <c r="A147" s="87" t="s">
        <v>86</v>
      </c>
      <c r="B147" s="3" t="s">
        <v>73</v>
      </c>
      <c r="C147" s="110">
        <v>18</v>
      </c>
      <c r="D147" s="89">
        <f>+D132</f>
        <v>129.9</v>
      </c>
      <c r="E147" s="86">
        <f t="shared" si="2"/>
        <v>7.2166666666666668</v>
      </c>
      <c r="G147" s="14"/>
    </row>
    <row r="148" spans="1:7" x14ac:dyDescent="0.25">
      <c r="A148" s="87" t="s">
        <v>89</v>
      </c>
      <c r="B148" s="3" t="s">
        <v>90</v>
      </c>
      <c r="C148" s="110">
        <v>1</v>
      </c>
      <c r="D148" s="89">
        <f>+D135</f>
        <v>18</v>
      </c>
      <c r="E148" s="86">
        <f t="shared" si="2"/>
        <v>18</v>
      </c>
      <c r="G148" s="14"/>
    </row>
    <row r="149" spans="1:7" x14ac:dyDescent="0.25">
      <c r="A149" s="87" t="s">
        <v>91</v>
      </c>
      <c r="B149" s="3" t="s">
        <v>92</v>
      </c>
      <c r="C149" s="97">
        <v>1</v>
      </c>
      <c r="D149" s="86">
        <v>49.9</v>
      </c>
      <c r="E149" s="89">
        <f>C149*D149</f>
        <v>49.9</v>
      </c>
      <c r="G149" s="14"/>
    </row>
    <row r="150" spans="1:7" x14ac:dyDescent="0.25">
      <c r="A150" s="87" t="s">
        <v>54</v>
      </c>
      <c r="B150" s="3" t="s">
        <v>55</v>
      </c>
      <c r="C150" s="97">
        <f>E41+E42</f>
        <v>6</v>
      </c>
      <c r="D150" s="89">
        <f>+SUM(E143:E149)</f>
        <v>119</v>
      </c>
      <c r="E150" s="89">
        <f>C150*D150</f>
        <v>714</v>
      </c>
      <c r="G150" s="14"/>
    </row>
    <row r="151" spans="1:7" x14ac:dyDescent="0.25">
      <c r="D151" s="93" t="s">
        <v>56</v>
      </c>
      <c r="E151" s="94">
        <f>$B$49</f>
        <v>1</v>
      </c>
      <c r="F151" s="95">
        <f>E150*E151</f>
        <v>714</v>
      </c>
      <c r="G151" s="14"/>
    </row>
    <row r="152" spans="1:7" ht="11.25" customHeight="1" x14ac:dyDescent="0.25">
      <c r="G152" s="14"/>
    </row>
    <row r="153" spans="1:7" x14ac:dyDescent="0.25">
      <c r="A153" s="106" t="s">
        <v>94</v>
      </c>
      <c r="B153" s="115"/>
      <c r="C153" s="115"/>
      <c r="D153" s="116"/>
      <c r="E153" s="117"/>
      <c r="F153" s="118">
        <f>+F138+F151</f>
        <v>4469</v>
      </c>
      <c r="G153" s="14"/>
    </row>
    <row r="154" spans="1:7" ht="11.25" customHeight="1" x14ac:dyDescent="0.25">
      <c r="G154" s="14"/>
    </row>
    <row r="155" spans="1:7" x14ac:dyDescent="0.25">
      <c r="A155" s="38" t="s">
        <v>95</v>
      </c>
      <c r="G155" s="14"/>
    </row>
    <row r="156" spans="1:7" ht="11.25" customHeight="1" x14ac:dyDescent="0.25">
      <c r="B156" s="119"/>
      <c r="G156" s="14"/>
    </row>
    <row r="157" spans="1:7" x14ac:dyDescent="0.25">
      <c r="A157" s="14" t="s">
        <v>96</v>
      </c>
      <c r="G157" s="14"/>
    </row>
    <row r="158" spans="1:7" ht="11.25" customHeight="1" x14ac:dyDescent="0.25">
      <c r="G158" s="14"/>
    </row>
    <row r="159" spans="1:7" x14ac:dyDescent="0.25">
      <c r="A159" s="155" t="s">
        <v>97</v>
      </c>
      <c r="G159" s="14"/>
    </row>
    <row r="160" spans="1:7" x14ac:dyDescent="0.25">
      <c r="A160" s="80" t="s">
        <v>35</v>
      </c>
      <c r="B160" s="81" t="s">
        <v>36</v>
      </c>
      <c r="C160" s="81" t="s">
        <v>29</v>
      </c>
      <c r="D160" s="82" t="s">
        <v>37</v>
      </c>
      <c r="E160" s="82" t="s">
        <v>38</v>
      </c>
      <c r="F160" s="83" t="s">
        <v>39</v>
      </c>
      <c r="G160" s="14"/>
    </row>
    <row r="161" spans="1:10" x14ac:dyDescent="0.25">
      <c r="A161" s="84" t="s">
        <v>204</v>
      </c>
      <c r="B161" s="85" t="s">
        <v>73</v>
      </c>
      <c r="C161" s="85">
        <v>1</v>
      </c>
      <c r="D161" s="86">
        <f>615357.4+2845.1</f>
        <v>618202.5</v>
      </c>
      <c r="E161" s="86">
        <f>C161*D161</f>
        <v>618202.5</v>
      </c>
      <c r="G161" s="120">
        <v>615357.4</v>
      </c>
      <c r="H161" s="121">
        <f>D161/G161</f>
        <v>1.0046234919739325</v>
      </c>
    </row>
    <row r="162" spans="1:10" x14ac:dyDescent="0.25">
      <c r="A162" s="87" t="s">
        <v>98</v>
      </c>
      <c r="B162" s="3" t="s">
        <v>99</v>
      </c>
      <c r="C162" s="3">
        <v>10</v>
      </c>
      <c r="D162" s="89"/>
      <c r="E162" s="89"/>
      <c r="G162" s="14"/>
    </row>
    <row r="163" spans="1:10" x14ac:dyDescent="0.25">
      <c r="A163" s="87" t="s">
        <v>100</v>
      </c>
      <c r="B163" s="3" t="s">
        <v>99</v>
      </c>
      <c r="C163" s="3">
        <v>10</v>
      </c>
      <c r="D163" s="89"/>
      <c r="E163" s="89"/>
      <c r="F163" s="122"/>
      <c r="I163" s="121"/>
      <c r="J163" s="121"/>
    </row>
    <row r="164" spans="1:10" x14ac:dyDescent="0.25">
      <c r="A164" s="87" t="s">
        <v>101</v>
      </c>
      <c r="B164" s="3" t="s">
        <v>25</v>
      </c>
      <c r="C164" s="89">
        <f>IFERROR(VLOOKUP(C162,'[1]5. Depreciação'!A3:B17,2,FALSE()),0)</f>
        <v>65.180000000000007</v>
      </c>
      <c r="D164" s="89">
        <f>E161</f>
        <v>618202.5</v>
      </c>
      <c r="E164" s="89">
        <f>C164*D164/100</f>
        <v>402944.38950000005</v>
      </c>
    </row>
    <row r="165" spans="1:10" x14ac:dyDescent="0.25">
      <c r="A165" s="123" t="s">
        <v>102</v>
      </c>
      <c r="B165" s="124" t="s">
        <v>41</v>
      </c>
      <c r="C165" s="124">
        <f>C162*12</f>
        <v>120</v>
      </c>
      <c r="D165" s="125">
        <f>IF(C163&lt;=C162,E164,0)</f>
        <v>402944.38950000005</v>
      </c>
      <c r="E165" s="125">
        <f>IFERROR(D165/C165,0)</f>
        <v>3357.8699125000003</v>
      </c>
    </row>
    <row r="166" spans="1:10" x14ac:dyDescent="0.25">
      <c r="A166" s="84" t="s">
        <v>103</v>
      </c>
      <c r="B166" s="85" t="s">
        <v>73</v>
      </c>
      <c r="C166" s="85">
        <f>C161</f>
        <v>1</v>
      </c>
      <c r="D166" s="86">
        <f>G166*H161</f>
        <v>267430.77356346085</v>
      </c>
      <c r="E166" s="86">
        <f>C166*D166</f>
        <v>267430.77356346085</v>
      </c>
      <c r="G166" s="14">
        <v>266200</v>
      </c>
    </row>
    <row r="167" spans="1:10" x14ac:dyDescent="0.25">
      <c r="A167" s="87" t="s">
        <v>104</v>
      </c>
      <c r="B167" s="3" t="s">
        <v>99</v>
      </c>
      <c r="C167" s="3">
        <v>10</v>
      </c>
      <c r="D167" s="89"/>
      <c r="E167" s="89"/>
    </row>
    <row r="168" spans="1:10" x14ac:dyDescent="0.25">
      <c r="A168" s="87" t="s">
        <v>105</v>
      </c>
      <c r="B168" s="3" t="s">
        <v>99</v>
      </c>
      <c r="C168" s="3">
        <v>10</v>
      </c>
      <c r="D168" s="89"/>
      <c r="E168" s="89"/>
      <c r="F168" s="122"/>
      <c r="I168" s="121"/>
      <c r="J168" s="121"/>
    </row>
    <row r="169" spans="1:10" x14ac:dyDescent="0.25">
      <c r="A169" s="87" t="s">
        <v>106</v>
      </c>
      <c r="B169" s="3" t="s">
        <v>25</v>
      </c>
      <c r="C169" s="94">
        <f>IFERROR(VLOOKUP(C167,'[1]5. Depreciação'!A3:B17,2,FALSE()),0)</f>
        <v>65.180000000000007</v>
      </c>
      <c r="D169" s="89">
        <v>90000</v>
      </c>
      <c r="E169" s="89">
        <f>C169*D169/100</f>
        <v>58662.000000000007</v>
      </c>
    </row>
    <row r="170" spans="1:10" x14ac:dyDescent="0.25">
      <c r="A170" s="98" t="s">
        <v>107</v>
      </c>
      <c r="B170" s="10" t="s">
        <v>41</v>
      </c>
      <c r="C170" s="10">
        <f>C167*12</f>
        <v>120</v>
      </c>
      <c r="D170" s="99">
        <f>IF(C168&lt;=C167,E169,0)</f>
        <v>58662.000000000007</v>
      </c>
      <c r="E170" s="99">
        <f>IFERROR(D170/C170,0)</f>
        <v>488.85000000000008</v>
      </c>
    </row>
    <row r="171" spans="1:10" x14ac:dyDescent="0.25">
      <c r="A171" s="90" t="s">
        <v>108</v>
      </c>
      <c r="B171" s="13"/>
      <c r="C171" s="13"/>
      <c r="D171" s="91"/>
      <c r="E171" s="92">
        <f>E165+E170</f>
        <v>3846.7199125000002</v>
      </c>
    </row>
    <row r="172" spans="1:10" x14ac:dyDescent="0.25">
      <c r="A172" s="98" t="s">
        <v>109</v>
      </c>
      <c r="B172" s="10" t="s">
        <v>73</v>
      </c>
      <c r="C172" s="3">
        <v>6</v>
      </c>
      <c r="D172" s="99">
        <f>E171</f>
        <v>3846.7199125000002</v>
      </c>
      <c r="E172" s="92">
        <f>D172*C172</f>
        <v>23080.319475</v>
      </c>
    </row>
    <row r="173" spans="1:10" x14ac:dyDescent="0.25">
      <c r="A173" s="126"/>
      <c r="B173" s="126"/>
      <c r="C173" s="126"/>
      <c r="D173" s="93" t="s">
        <v>56</v>
      </c>
      <c r="E173" s="94">
        <f>$B$49</f>
        <v>1</v>
      </c>
      <c r="F173" s="118">
        <f>E172*E173</f>
        <v>23080.319475</v>
      </c>
    </row>
    <row r="174" spans="1:10" ht="11.25" customHeight="1" x14ac:dyDescent="0.25"/>
    <row r="175" spans="1:10" x14ac:dyDescent="0.25">
      <c r="A175" s="155" t="s">
        <v>110</v>
      </c>
    </row>
    <row r="176" spans="1:10" x14ac:dyDescent="0.25">
      <c r="A176" s="80" t="s">
        <v>35</v>
      </c>
      <c r="B176" s="81" t="s">
        <v>36</v>
      </c>
      <c r="C176" s="81" t="s">
        <v>29</v>
      </c>
      <c r="D176" s="82" t="s">
        <v>37</v>
      </c>
      <c r="E176" s="82" t="s">
        <v>38</v>
      </c>
      <c r="F176" s="83" t="s">
        <v>39</v>
      </c>
      <c r="I176" s="121"/>
      <c r="J176" s="121"/>
    </row>
    <row r="177" spans="1:10" x14ac:dyDescent="0.25">
      <c r="A177" s="84" t="s">
        <v>111</v>
      </c>
      <c r="B177" s="85" t="s">
        <v>73</v>
      </c>
      <c r="C177" s="85">
        <v>1</v>
      </c>
      <c r="D177" s="86">
        <v>615357.4</v>
      </c>
      <c r="E177" s="86">
        <f>C177*D177</f>
        <v>615357.4</v>
      </c>
      <c r="F177" s="122"/>
      <c r="I177" s="121"/>
      <c r="J177" s="121"/>
    </row>
    <row r="178" spans="1:10" x14ac:dyDescent="0.25">
      <c r="A178" s="87" t="s">
        <v>112</v>
      </c>
      <c r="B178" s="3" t="s">
        <v>25</v>
      </c>
      <c r="C178" s="3">
        <v>13.25</v>
      </c>
      <c r="D178" s="89"/>
      <c r="E178" s="89"/>
      <c r="F178" s="122"/>
      <c r="I178" s="121"/>
      <c r="J178" s="121"/>
    </row>
    <row r="179" spans="1:10" x14ac:dyDescent="0.25">
      <c r="A179" s="87" t="s">
        <v>113</v>
      </c>
      <c r="B179" s="3" t="s">
        <v>48</v>
      </c>
      <c r="C179" s="127">
        <f>IFERROR(IF(C163&lt;=C162,E161-(C164/(100*C162)*C163)*E161,E161-E164),0)</f>
        <v>215258.11049999995</v>
      </c>
      <c r="D179" s="89"/>
      <c r="E179" s="89"/>
      <c r="F179" s="122"/>
      <c r="I179" s="121"/>
      <c r="J179" s="121"/>
    </row>
    <row r="180" spans="1:10" x14ac:dyDescent="0.25">
      <c r="A180" s="87" t="s">
        <v>114</v>
      </c>
      <c r="B180" s="3" t="s">
        <v>48</v>
      </c>
      <c r="C180" s="89">
        <f>IFERROR(IF(C163&gt;=C162,C179,((((C179)-(E161-E164))*(((C162-C163)+1)/(2*(C162-C163))))+(E161-E164))),0)</f>
        <v>215258.11049999995</v>
      </c>
      <c r="D180" s="89"/>
      <c r="E180" s="89"/>
      <c r="F180" s="122"/>
      <c r="I180" s="121"/>
      <c r="J180" s="121"/>
    </row>
    <row r="181" spans="1:10" x14ac:dyDescent="0.25">
      <c r="A181" s="123" t="s">
        <v>115</v>
      </c>
      <c r="B181" s="124" t="s">
        <v>48</v>
      </c>
      <c r="C181" s="124"/>
      <c r="D181" s="125">
        <f>C178*C180/12/100</f>
        <v>2376.8083034374995</v>
      </c>
      <c r="E181" s="125">
        <f>D181</f>
        <v>2376.8083034374995</v>
      </c>
      <c r="F181" s="122"/>
      <c r="I181" s="121"/>
      <c r="J181" s="121"/>
    </row>
    <row r="182" spans="1:10" x14ac:dyDescent="0.25">
      <c r="A182" s="84" t="s">
        <v>116</v>
      </c>
      <c r="B182" s="85" t="s">
        <v>73</v>
      </c>
      <c r="C182" s="85">
        <f>C166</f>
        <v>1</v>
      </c>
      <c r="D182" s="86">
        <f>D166</f>
        <v>267430.77356346085</v>
      </c>
      <c r="E182" s="86">
        <f>C182*D182</f>
        <v>267430.77356346085</v>
      </c>
      <c r="F182" s="122"/>
      <c r="I182" s="121"/>
      <c r="J182" s="121"/>
    </row>
    <row r="183" spans="1:10" x14ac:dyDescent="0.25">
      <c r="A183" s="87" t="s">
        <v>112</v>
      </c>
      <c r="B183" s="3" t="s">
        <v>25</v>
      </c>
      <c r="C183" s="133">
        <v>15</v>
      </c>
      <c r="D183" s="89"/>
      <c r="E183" s="89"/>
      <c r="F183" s="122"/>
      <c r="I183" s="121"/>
      <c r="J183" s="121"/>
    </row>
    <row r="184" spans="1:10" x14ac:dyDescent="0.25">
      <c r="A184" s="87" t="s">
        <v>117</v>
      </c>
      <c r="B184" s="3" t="s">
        <v>48</v>
      </c>
      <c r="C184" s="127">
        <f>IFERROR(IF(C168&lt;=C167,E166-(C169/(100*C167)*C168)*E166,E166-E169),0)</f>
        <v>93119.395354797045</v>
      </c>
      <c r="D184" s="89"/>
      <c r="E184" s="89"/>
      <c r="F184" s="122"/>
      <c r="I184" s="121"/>
      <c r="J184" s="121"/>
    </row>
    <row r="185" spans="1:10" x14ac:dyDescent="0.25">
      <c r="A185" s="87" t="s">
        <v>118</v>
      </c>
      <c r="B185" s="3" t="s">
        <v>48</v>
      </c>
      <c r="C185" s="89">
        <f>IFERROR(IF(C168&gt;=C167,C184,((((C184)-(E166-E169))*(((C167-C168)+1)/(2*(C167-C168))))+(E166-E169))),0)</f>
        <v>93119.395354797045</v>
      </c>
      <c r="D185" s="89"/>
      <c r="E185" s="89"/>
      <c r="F185" s="122"/>
      <c r="I185" s="121"/>
      <c r="J185" s="121"/>
    </row>
    <row r="186" spans="1:10" x14ac:dyDescent="0.25">
      <c r="A186" s="98" t="s">
        <v>119</v>
      </c>
      <c r="B186" s="10" t="s">
        <v>48</v>
      </c>
      <c r="C186" s="10"/>
      <c r="D186" s="99">
        <f>C183*C185/12/100</f>
        <v>1163.9924419349629</v>
      </c>
      <c r="E186" s="99">
        <f>D186</f>
        <v>1163.9924419349629</v>
      </c>
      <c r="F186" s="122"/>
      <c r="I186" s="121"/>
      <c r="J186" s="121"/>
    </row>
    <row r="187" spans="1:10" x14ac:dyDescent="0.25">
      <c r="A187" s="90" t="s">
        <v>108</v>
      </c>
      <c r="B187" s="13"/>
      <c r="C187" s="13"/>
      <c r="D187" s="91"/>
      <c r="E187" s="92">
        <f>E181+E186</f>
        <v>3540.8007453724622</v>
      </c>
      <c r="F187" s="122"/>
      <c r="I187" s="121"/>
      <c r="J187" s="121"/>
    </row>
    <row r="188" spans="1:10" x14ac:dyDescent="0.25">
      <c r="A188" s="98" t="s">
        <v>109</v>
      </c>
      <c r="B188" s="10" t="s">
        <v>73</v>
      </c>
      <c r="C188" s="3">
        <f>C172</f>
        <v>6</v>
      </c>
      <c r="D188" s="99">
        <f>E187</f>
        <v>3540.8007453724622</v>
      </c>
      <c r="E188" s="92">
        <f>D188*C188</f>
        <v>21244.804472234773</v>
      </c>
      <c r="F188" s="122"/>
      <c r="I188" s="121"/>
      <c r="J188" s="121"/>
    </row>
    <row r="189" spans="1:10" x14ac:dyDescent="0.25">
      <c r="C189" s="128"/>
      <c r="D189" s="93" t="s">
        <v>56</v>
      </c>
      <c r="E189" s="94">
        <f>$B$49</f>
        <v>1</v>
      </c>
      <c r="F189" s="118">
        <f>E188*E189</f>
        <v>21244.804472234773</v>
      </c>
      <c r="I189" s="121"/>
      <c r="J189" s="121"/>
    </row>
    <row r="190" spans="1:10" ht="11.25" customHeight="1" x14ac:dyDescent="0.25">
      <c r="I190" s="121"/>
      <c r="J190" s="121"/>
    </row>
    <row r="191" spans="1:10" x14ac:dyDescent="0.25">
      <c r="A191" s="14" t="s">
        <v>201</v>
      </c>
      <c r="I191" s="121"/>
      <c r="J191" s="121"/>
    </row>
    <row r="192" spans="1:10" x14ac:dyDescent="0.25">
      <c r="A192" s="80" t="s">
        <v>35</v>
      </c>
      <c r="B192" s="81" t="s">
        <v>36</v>
      </c>
      <c r="C192" s="81" t="s">
        <v>29</v>
      </c>
      <c r="D192" s="82" t="s">
        <v>37</v>
      </c>
      <c r="E192" s="82" t="s">
        <v>38</v>
      </c>
      <c r="F192" s="83" t="s">
        <v>39</v>
      </c>
      <c r="I192" s="121"/>
      <c r="J192" s="121"/>
    </row>
    <row r="193" spans="1:10" x14ac:dyDescent="0.25">
      <c r="A193" s="84" t="s">
        <v>198</v>
      </c>
      <c r="B193" s="85" t="s">
        <v>73</v>
      </c>
      <c r="C193" s="86">
        <v>5</v>
      </c>
      <c r="D193" s="86">
        <f>0.01*($E$161)+896.22</f>
        <v>7078.2450000000008</v>
      </c>
      <c r="E193" s="86">
        <f>C193*D193</f>
        <v>35391.225000000006</v>
      </c>
      <c r="I193" s="121"/>
      <c r="J193" s="121"/>
    </row>
    <row r="194" spans="1:10" x14ac:dyDescent="0.25">
      <c r="A194" s="87" t="s">
        <v>202</v>
      </c>
      <c r="B194" s="3" t="s">
        <v>203</v>
      </c>
      <c r="C194" s="86">
        <v>9</v>
      </c>
      <c r="D194" s="89">
        <v>2704</v>
      </c>
      <c r="E194" s="89">
        <f>C194*D194</f>
        <v>24336</v>
      </c>
      <c r="I194" s="121"/>
      <c r="J194" s="121"/>
    </row>
    <row r="195" spans="1:10" x14ac:dyDescent="0.25">
      <c r="A195" s="87" t="s">
        <v>120</v>
      </c>
      <c r="B195" s="3" t="s">
        <v>73</v>
      </c>
      <c r="C195" s="86">
        <v>5</v>
      </c>
      <c r="D195" s="89">
        <v>6000</v>
      </c>
      <c r="E195" s="89">
        <f>C195*D195</f>
        <v>30000</v>
      </c>
      <c r="F195" s="91"/>
      <c r="I195" s="121"/>
      <c r="J195" s="121"/>
    </row>
    <row r="196" spans="1:10" x14ac:dyDescent="0.25">
      <c r="A196" s="98" t="s">
        <v>121</v>
      </c>
      <c r="B196" s="10" t="s">
        <v>41</v>
      </c>
      <c r="C196" s="10">
        <v>12</v>
      </c>
      <c r="D196" s="99">
        <f>SUM(E193:E195)</f>
        <v>89727.225000000006</v>
      </c>
      <c r="E196" s="99">
        <f>D196/C196</f>
        <v>7477.2687500000002</v>
      </c>
      <c r="I196" s="121"/>
      <c r="J196" s="121"/>
    </row>
    <row r="197" spans="1:10" x14ac:dyDescent="0.25">
      <c r="D197" s="93" t="s">
        <v>56</v>
      </c>
      <c r="E197" s="94">
        <f>$B$49</f>
        <v>1</v>
      </c>
      <c r="F197" s="95">
        <f>E196*E197</f>
        <v>7477.2687500000002</v>
      </c>
      <c r="I197" s="121"/>
      <c r="J197" s="121"/>
    </row>
    <row r="198" spans="1:10" ht="11.25" customHeight="1" x14ac:dyDescent="0.25">
      <c r="I198" s="121"/>
      <c r="J198" s="121"/>
    </row>
    <row r="199" spans="1:10" x14ac:dyDescent="0.25">
      <c r="A199" s="14" t="s">
        <v>122</v>
      </c>
      <c r="B199" s="129"/>
      <c r="I199" s="121"/>
      <c r="J199" s="121"/>
    </row>
    <row r="200" spans="1:10" x14ac:dyDescent="0.25">
      <c r="B200" s="129"/>
      <c r="I200" s="121"/>
      <c r="J200" s="121"/>
    </row>
    <row r="201" spans="1:10" x14ac:dyDescent="0.25">
      <c r="A201" s="98" t="s">
        <v>123</v>
      </c>
      <c r="B201" s="130">
        <v>12000</v>
      </c>
      <c r="I201" s="121"/>
      <c r="J201" s="121"/>
    </row>
    <row r="202" spans="1:10" x14ac:dyDescent="0.25">
      <c r="B202" s="129"/>
      <c r="I202" s="121"/>
      <c r="J202" s="121"/>
    </row>
    <row r="203" spans="1:10" x14ac:dyDescent="0.25">
      <c r="A203" s="80" t="s">
        <v>35</v>
      </c>
      <c r="B203" s="81" t="s">
        <v>36</v>
      </c>
      <c r="C203" s="81" t="s">
        <v>124</v>
      </c>
      <c r="D203" s="82" t="s">
        <v>37</v>
      </c>
      <c r="E203" s="82" t="s">
        <v>38</v>
      </c>
      <c r="F203" s="83" t="s">
        <v>39</v>
      </c>
      <c r="I203" s="121"/>
      <c r="J203" s="121"/>
    </row>
    <row r="204" spans="1:10" x14ac:dyDescent="0.25">
      <c r="A204" s="84" t="s">
        <v>125</v>
      </c>
      <c r="B204" s="85" t="s">
        <v>126</v>
      </c>
      <c r="C204" s="131">
        <v>2</v>
      </c>
      <c r="D204" s="132">
        <v>7.43</v>
      </c>
      <c r="E204" s="86"/>
      <c r="I204" s="121"/>
      <c r="J204" s="121"/>
    </row>
    <row r="205" spans="1:10" x14ac:dyDescent="0.25">
      <c r="A205" s="87" t="s">
        <v>127</v>
      </c>
      <c r="B205" s="3" t="s">
        <v>128</v>
      </c>
      <c r="C205" s="153">
        <v>13241.1</v>
      </c>
      <c r="D205" s="132">
        <v>3.59</v>
      </c>
      <c r="E205" s="89">
        <f>IFERROR(C205*D205,"-")</f>
        <v>47535.548999999999</v>
      </c>
      <c r="I205" s="121"/>
      <c r="J205" s="121"/>
    </row>
    <row r="206" spans="1:10" x14ac:dyDescent="0.25">
      <c r="A206" s="87" t="s">
        <v>129</v>
      </c>
      <c r="B206" s="3" t="s">
        <v>130</v>
      </c>
      <c r="C206" s="133">
        <v>2</v>
      </c>
      <c r="D206" s="89">
        <f>3398/200</f>
        <v>16.989999999999998</v>
      </c>
      <c r="E206" s="89"/>
      <c r="I206" s="121"/>
      <c r="J206" s="121"/>
    </row>
    <row r="207" spans="1:10" x14ac:dyDescent="0.25">
      <c r="A207" s="87" t="s">
        <v>131</v>
      </c>
      <c r="B207" s="3" t="s">
        <v>128</v>
      </c>
      <c r="C207" s="153">
        <f>C205</f>
        <v>13241.1</v>
      </c>
      <c r="D207" s="134">
        <f>+C206*D206/1000</f>
        <v>3.3979999999999996E-2</v>
      </c>
      <c r="E207" s="89">
        <f>C207*D207</f>
        <v>449.93257799999998</v>
      </c>
      <c r="I207" s="121"/>
      <c r="J207" s="121"/>
    </row>
    <row r="208" spans="1:10" x14ac:dyDescent="0.25">
      <c r="A208" s="87" t="s">
        <v>132</v>
      </c>
      <c r="B208" s="3" t="s">
        <v>130</v>
      </c>
      <c r="C208" s="133">
        <v>0.85</v>
      </c>
      <c r="D208" s="89">
        <f>380.14/20</f>
        <v>19.006999999999998</v>
      </c>
      <c r="E208" s="89"/>
      <c r="I208" s="121"/>
      <c r="J208" s="121"/>
    </row>
    <row r="209" spans="1:10" x14ac:dyDescent="0.25">
      <c r="A209" s="87" t="s">
        <v>133</v>
      </c>
      <c r="B209" s="3" t="s">
        <v>128</v>
      </c>
      <c r="C209" s="153">
        <f>C205</f>
        <v>13241.1</v>
      </c>
      <c r="D209" s="134">
        <f>+C208*D208/1000</f>
        <v>1.6155949999999999E-2</v>
      </c>
      <c r="E209" s="89">
        <f>C209*D209</f>
        <v>213.92254954499998</v>
      </c>
      <c r="I209" s="121"/>
      <c r="J209" s="121"/>
    </row>
    <row r="210" spans="1:10" x14ac:dyDescent="0.25">
      <c r="A210" s="87" t="s">
        <v>134</v>
      </c>
      <c r="B210" s="3" t="s">
        <v>130</v>
      </c>
      <c r="C210" s="133">
        <f>D211/D210*1000</f>
        <v>7.5522426384514887</v>
      </c>
      <c r="D210" s="89">
        <f>2563.9/200</f>
        <v>12.8195</v>
      </c>
      <c r="E210" s="89"/>
      <c r="I210" s="121"/>
      <c r="J210" s="121"/>
    </row>
    <row r="211" spans="1:10" x14ac:dyDescent="0.25">
      <c r="A211" s="87" t="s">
        <v>135</v>
      </c>
      <c r="B211" s="3" t="s">
        <v>128</v>
      </c>
      <c r="C211" s="153">
        <f>C205</f>
        <v>13241.1</v>
      </c>
      <c r="D211" s="134">
        <f>E211/C211</f>
        <v>9.681597450362886E-2</v>
      </c>
      <c r="E211" s="89">
        <f>C172*200/12*D210</f>
        <v>1281.95</v>
      </c>
      <c r="I211" s="121"/>
      <c r="J211" s="121"/>
    </row>
    <row r="212" spans="1:10" x14ac:dyDescent="0.25">
      <c r="A212" s="87" t="s">
        <v>136</v>
      </c>
      <c r="B212" s="3" t="s">
        <v>137</v>
      </c>
      <c r="C212" s="133">
        <v>2</v>
      </c>
      <c r="D212" s="89">
        <f>270.2/20</f>
        <v>13.51</v>
      </c>
      <c r="E212" s="89"/>
      <c r="I212" s="121"/>
      <c r="J212" s="121"/>
    </row>
    <row r="213" spans="1:10" x14ac:dyDescent="0.25">
      <c r="A213" s="87" t="s">
        <v>138</v>
      </c>
      <c r="B213" s="3" t="s">
        <v>128</v>
      </c>
      <c r="C213" s="153">
        <f>C205</f>
        <v>13241.1</v>
      </c>
      <c r="D213" s="134">
        <f>+C212*D212/1000</f>
        <v>2.7019999999999999E-2</v>
      </c>
      <c r="E213" s="89">
        <f>C213*D213</f>
        <v>357.77452199999999</v>
      </c>
      <c r="I213" s="121"/>
      <c r="J213" s="121"/>
    </row>
    <row r="214" spans="1:10" x14ac:dyDescent="0.25">
      <c r="A214" s="98" t="s">
        <v>139</v>
      </c>
      <c r="B214" s="10" t="s">
        <v>140</v>
      </c>
      <c r="C214" s="135"/>
      <c r="D214" s="136">
        <f>IFERROR(D205+D207+D209+D211+D213,0)</f>
        <v>3.7639719245036285</v>
      </c>
      <c r="E214" s="89"/>
      <c r="I214" s="121"/>
      <c r="J214" s="121"/>
    </row>
    <row r="215" spans="1:10" x14ac:dyDescent="0.25">
      <c r="F215" s="118">
        <f>SUM(E204:E213)</f>
        <v>49839.128649544997</v>
      </c>
      <c r="I215" s="121"/>
      <c r="J215" s="121"/>
    </row>
    <row r="216" spans="1:10" ht="11.25" customHeight="1" x14ac:dyDescent="0.25">
      <c r="I216" s="121"/>
      <c r="J216" s="121"/>
    </row>
    <row r="217" spans="1:10" x14ac:dyDescent="0.25">
      <c r="A217" s="14" t="s">
        <v>141</v>
      </c>
      <c r="I217" s="121"/>
      <c r="J217" s="121"/>
    </row>
    <row r="218" spans="1:10" x14ac:dyDescent="0.25">
      <c r="A218" s="80" t="s">
        <v>35</v>
      </c>
      <c r="B218" s="81" t="s">
        <v>36</v>
      </c>
      <c r="C218" s="81" t="s">
        <v>29</v>
      </c>
      <c r="D218" s="82" t="s">
        <v>37</v>
      </c>
      <c r="E218" s="82" t="s">
        <v>38</v>
      </c>
      <c r="F218" s="83" t="s">
        <v>39</v>
      </c>
      <c r="I218" s="121"/>
      <c r="J218" s="121"/>
    </row>
    <row r="219" spans="1:10" x14ac:dyDescent="0.25">
      <c r="A219" s="84" t="s">
        <v>142</v>
      </c>
      <c r="B219" s="85" t="s">
        <v>140</v>
      </c>
      <c r="C219" s="153">
        <f>C205</f>
        <v>13241.1</v>
      </c>
      <c r="D219" s="86">
        <v>0.74</v>
      </c>
      <c r="E219" s="86">
        <f>C219*D219</f>
        <v>9798.4140000000007</v>
      </c>
      <c r="I219" s="121"/>
      <c r="J219" s="121"/>
    </row>
    <row r="220" spans="1:10" x14ac:dyDescent="0.25">
      <c r="F220" s="118">
        <f>E219</f>
        <v>9798.4140000000007</v>
      </c>
      <c r="I220" s="121"/>
      <c r="J220" s="121"/>
    </row>
    <row r="221" spans="1:10" ht="11.25" customHeight="1" x14ac:dyDescent="0.25">
      <c r="I221" s="121"/>
      <c r="J221" s="121"/>
    </row>
    <row r="222" spans="1:10" x14ac:dyDescent="0.25">
      <c r="A222" s="14" t="s">
        <v>143</v>
      </c>
      <c r="I222" s="121"/>
      <c r="J222" s="121"/>
    </row>
    <row r="223" spans="1:10" x14ac:dyDescent="0.25">
      <c r="A223" s="80" t="s">
        <v>35</v>
      </c>
      <c r="B223" s="81" t="s">
        <v>36</v>
      </c>
      <c r="C223" s="81" t="s">
        <v>29</v>
      </c>
      <c r="D223" s="82" t="s">
        <v>37</v>
      </c>
      <c r="E223" s="82" t="s">
        <v>38</v>
      </c>
      <c r="F223" s="83" t="s">
        <v>39</v>
      </c>
      <c r="I223" s="121"/>
      <c r="J223" s="121"/>
    </row>
    <row r="224" spans="1:10" x14ac:dyDescent="0.25">
      <c r="A224" s="84" t="s">
        <v>144</v>
      </c>
      <c r="B224" s="85" t="s">
        <v>73</v>
      </c>
      <c r="C224" s="85">
        <v>6</v>
      </c>
      <c r="D224" s="86">
        <v>2490</v>
      </c>
      <c r="E224" s="86">
        <f>C224*D224</f>
        <v>14940</v>
      </c>
      <c r="I224" s="121"/>
      <c r="J224" s="121"/>
    </row>
    <row r="225" spans="1:10" x14ac:dyDescent="0.25">
      <c r="A225" s="84" t="s">
        <v>145</v>
      </c>
      <c r="B225" s="85" t="s">
        <v>73</v>
      </c>
      <c r="C225" s="85">
        <v>3</v>
      </c>
      <c r="D225" s="86"/>
      <c r="E225" s="86"/>
      <c r="I225" s="121"/>
      <c r="J225" s="121"/>
    </row>
    <row r="226" spans="1:10" x14ac:dyDescent="0.25">
      <c r="A226" s="84" t="s">
        <v>146</v>
      </c>
      <c r="B226" s="85" t="s">
        <v>73</v>
      </c>
      <c r="C226" s="86">
        <f>C224*C225</f>
        <v>18</v>
      </c>
      <c r="D226" s="86">
        <v>700</v>
      </c>
      <c r="E226" s="86">
        <f>C226*D226</f>
        <v>12600</v>
      </c>
      <c r="I226" s="121"/>
      <c r="J226" s="121"/>
    </row>
    <row r="227" spans="1:10" x14ac:dyDescent="0.25">
      <c r="A227" s="87" t="s">
        <v>147</v>
      </c>
      <c r="B227" s="3" t="s">
        <v>148</v>
      </c>
      <c r="C227" s="137">
        <v>65000</v>
      </c>
      <c r="D227" s="89">
        <f>E224+E226</f>
        <v>27540</v>
      </c>
      <c r="E227" s="89">
        <f>IFERROR(D227/C227,"-")</f>
        <v>0.4236923076923077</v>
      </c>
      <c r="I227" s="121"/>
      <c r="J227" s="121"/>
    </row>
    <row r="228" spans="1:10" x14ac:dyDescent="0.25">
      <c r="A228" s="87" t="s">
        <v>149</v>
      </c>
      <c r="B228" s="3" t="s">
        <v>128</v>
      </c>
      <c r="C228" s="153">
        <v>13241.1</v>
      </c>
      <c r="D228" s="89">
        <f>E227</f>
        <v>0.4236923076923077</v>
      </c>
      <c r="E228" s="89">
        <f>IFERROR(C228*D228,0)</f>
        <v>5610.1522153846154</v>
      </c>
      <c r="I228" s="121"/>
      <c r="J228" s="121"/>
    </row>
    <row r="229" spans="1:10" x14ac:dyDescent="0.25">
      <c r="F229" s="118">
        <f>E228</f>
        <v>5610.1522153846154</v>
      </c>
      <c r="I229" s="121"/>
      <c r="J229" s="121"/>
    </row>
    <row r="230" spans="1:10" ht="11.25" customHeight="1" x14ac:dyDescent="0.25">
      <c r="I230" s="121"/>
      <c r="J230" s="121"/>
    </row>
    <row r="231" spans="1:10" ht="11.25" customHeight="1" x14ac:dyDescent="0.25">
      <c r="G231" s="14"/>
    </row>
    <row r="232" spans="1:10" x14ac:dyDescent="0.25">
      <c r="A232" s="106" t="s">
        <v>150</v>
      </c>
      <c r="B232" s="107"/>
      <c r="C232" s="107"/>
      <c r="D232" s="52"/>
      <c r="E232" s="108"/>
      <c r="F232" s="118">
        <f>F229+F220+F215+F197+F189+F173-0.01</f>
        <v>117050.07756216438</v>
      </c>
      <c r="G232" s="14"/>
    </row>
    <row r="233" spans="1:10" ht="11.25" customHeight="1" x14ac:dyDescent="0.25">
      <c r="G233" s="14"/>
    </row>
    <row r="234" spans="1:10" x14ac:dyDescent="0.25">
      <c r="A234" s="38" t="s">
        <v>151</v>
      </c>
      <c r="B234" s="38"/>
      <c r="C234" s="38"/>
      <c r="D234" s="37"/>
      <c r="E234" s="37"/>
      <c r="F234" s="91"/>
      <c r="G234" s="14"/>
    </row>
    <row r="235" spans="1:10" ht="11.25" customHeight="1" x14ac:dyDescent="0.25">
      <c r="G235" s="14"/>
    </row>
    <row r="236" spans="1:10" x14ac:dyDescent="0.25">
      <c r="A236" s="80" t="s">
        <v>35</v>
      </c>
      <c r="B236" s="81" t="s">
        <v>36</v>
      </c>
      <c r="C236" s="81" t="s">
        <v>29</v>
      </c>
      <c r="D236" s="82" t="s">
        <v>37</v>
      </c>
      <c r="E236" s="82" t="s">
        <v>38</v>
      </c>
      <c r="F236" s="83" t="s">
        <v>39</v>
      </c>
      <c r="G236" s="14"/>
    </row>
    <row r="237" spans="1:10" x14ac:dyDescent="0.25">
      <c r="A237" s="87" t="s">
        <v>152</v>
      </c>
      <c r="B237" s="3" t="s">
        <v>73</v>
      </c>
      <c r="C237" s="110">
        <f>C172/12</f>
        <v>0.5</v>
      </c>
      <c r="D237" s="86">
        <v>59.9</v>
      </c>
      <c r="E237" s="89">
        <f t="shared" ref="E237:E244" si="3">C237*D237</f>
        <v>29.95</v>
      </c>
      <c r="F237" s="122"/>
      <c r="G237" s="14"/>
    </row>
    <row r="238" spans="1:10" x14ac:dyDescent="0.25">
      <c r="A238" s="87" t="s">
        <v>153</v>
      </c>
      <c r="B238" s="3" t="s">
        <v>73</v>
      </c>
      <c r="C238" s="110">
        <f>C172/4</f>
        <v>1.5</v>
      </c>
      <c r="D238" s="86">
        <v>39.9</v>
      </c>
      <c r="E238" s="89">
        <f t="shared" si="3"/>
        <v>59.849999999999994</v>
      </c>
      <c r="F238" s="122"/>
      <c r="G238" s="14"/>
    </row>
    <row r="239" spans="1:10" x14ac:dyDescent="0.25">
      <c r="A239" s="87" t="s">
        <v>154</v>
      </c>
      <c r="B239" s="3" t="s">
        <v>73</v>
      </c>
      <c r="C239" s="110">
        <f>C172/4</f>
        <v>1.5</v>
      </c>
      <c r="D239" s="86">
        <v>29.9</v>
      </c>
      <c r="E239" s="89">
        <f t="shared" si="3"/>
        <v>44.849999999999994</v>
      </c>
      <c r="F239" s="122"/>
      <c r="G239" s="14"/>
    </row>
    <row r="240" spans="1:10" x14ac:dyDescent="0.25">
      <c r="A240" s="87" t="s">
        <v>155</v>
      </c>
      <c r="B240" s="3" t="s">
        <v>156</v>
      </c>
      <c r="C240" s="110">
        <f>C172/12</f>
        <v>0.5</v>
      </c>
      <c r="D240" s="86">
        <v>2200</v>
      </c>
      <c r="E240" s="89">
        <f t="shared" si="3"/>
        <v>1100</v>
      </c>
      <c r="F240" s="122"/>
      <c r="G240" s="14"/>
    </row>
    <row r="241" spans="1:7" x14ac:dyDescent="0.25">
      <c r="A241" s="87" t="s">
        <v>195</v>
      </c>
      <c r="B241" s="3" t="s">
        <v>73</v>
      </c>
      <c r="C241" s="110">
        <v>40</v>
      </c>
      <c r="D241" s="86">
        <v>2200</v>
      </c>
      <c r="E241" s="89">
        <f t="shared" si="3"/>
        <v>88000</v>
      </c>
      <c r="F241" s="122"/>
      <c r="G241" s="14"/>
    </row>
    <row r="242" spans="1:7" x14ac:dyDescent="0.25">
      <c r="A242" s="87" t="s">
        <v>157</v>
      </c>
      <c r="B242" s="3" t="s">
        <v>41</v>
      </c>
      <c r="C242" s="110">
        <v>1</v>
      </c>
      <c r="D242" s="89">
        <v>2485</v>
      </c>
      <c r="E242" s="89">
        <f t="shared" si="3"/>
        <v>2485</v>
      </c>
      <c r="F242" s="122"/>
      <c r="G242" s="14"/>
    </row>
    <row r="243" spans="1:7" x14ac:dyDescent="0.25">
      <c r="A243" s="87" t="s">
        <v>158</v>
      </c>
      <c r="B243" s="3" t="s">
        <v>159</v>
      </c>
      <c r="C243" s="133">
        <v>133.4</v>
      </c>
      <c r="D243" s="89">
        <v>6.4</v>
      </c>
      <c r="E243" s="89">
        <f t="shared" si="3"/>
        <v>853.7600000000001</v>
      </c>
      <c r="F243" s="122"/>
      <c r="G243" s="14"/>
    </row>
    <row r="244" spans="1:7" x14ac:dyDescent="0.25">
      <c r="A244" s="87" t="s">
        <v>160</v>
      </c>
      <c r="B244" s="3" t="s">
        <v>41</v>
      </c>
      <c r="C244" s="110">
        <v>1</v>
      </c>
      <c r="D244" s="89">
        <v>5000</v>
      </c>
      <c r="E244" s="89">
        <f t="shared" si="3"/>
        <v>5000</v>
      </c>
      <c r="F244" s="122"/>
      <c r="G244" s="14"/>
    </row>
    <row r="245" spans="1:7" x14ac:dyDescent="0.25">
      <c r="A245" s="38"/>
      <c r="B245" s="38"/>
      <c r="C245" s="38"/>
      <c r="D245" s="38"/>
      <c r="E245" s="37"/>
      <c r="F245" s="118">
        <f>SUM(E237:E244)</f>
        <v>97573.409999999989</v>
      </c>
      <c r="G245" s="14"/>
    </row>
    <row r="246" spans="1:7" ht="11.25" customHeight="1" x14ac:dyDescent="0.25">
      <c r="G246" s="14"/>
    </row>
    <row r="247" spans="1:7" x14ac:dyDescent="0.25">
      <c r="A247" s="106" t="s">
        <v>161</v>
      </c>
      <c r="B247" s="107"/>
      <c r="C247" s="107"/>
      <c r="D247" s="52"/>
      <c r="E247" s="108"/>
      <c r="F247" s="118">
        <f>+F245</f>
        <v>97573.409999999989</v>
      </c>
      <c r="G247" s="14"/>
    </row>
    <row r="248" spans="1:7" ht="11.25" customHeight="1" x14ac:dyDescent="0.25">
      <c r="G248" s="14"/>
    </row>
    <row r="249" spans="1:7" x14ac:dyDescent="0.25">
      <c r="A249" s="38" t="s">
        <v>162</v>
      </c>
      <c r="B249" s="38"/>
      <c r="C249" s="38"/>
      <c r="D249" s="37"/>
      <c r="E249" s="37"/>
      <c r="F249" s="91"/>
    </row>
    <row r="250" spans="1:7" ht="11.25" customHeight="1" x14ac:dyDescent="0.25"/>
    <row r="251" spans="1:7" x14ac:dyDescent="0.25">
      <c r="A251" s="80" t="s">
        <v>35</v>
      </c>
      <c r="B251" s="81" t="s">
        <v>36</v>
      </c>
      <c r="C251" s="81" t="s">
        <v>29</v>
      </c>
      <c r="D251" s="82" t="s">
        <v>37</v>
      </c>
      <c r="E251" s="82" t="s">
        <v>38</v>
      </c>
      <c r="F251" s="83" t="s">
        <v>39</v>
      </c>
    </row>
    <row r="252" spans="1:7" x14ac:dyDescent="0.25">
      <c r="A252" s="87" t="s">
        <v>163</v>
      </c>
      <c r="B252" s="138" t="s">
        <v>156</v>
      </c>
      <c r="C252" s="97">
        <f>C161</f>
        <v>1</v>
      </c>
      <c r="D252" s="89">
        <v>150</v>
      </c>
      <c r="E252" s="89">
        <f>+D252*C252</f>
        <v>150</v>
      </c>
      <c r="F252" s="122"/>
    </row>
    <row r="253" spans="1:7" x14ac:dyDescent="0.25">
      <c r="A253" s="87" t="s">
        <v>164</v>
      </c>
      <c r="B253" s="138" t="s">
        <v>41</v>
      </c>
      <c r="C253" s="3">
        <v>60</v>
      </c>
      <c r="D253" s="139">
        <v>150</v>
      </c>
      <c r="E253" s="139">
        <f>+D253/C253</f>
        <v>2.5</v>
      </c>
      <c r="F253" s="122"/>
    </row>
    <row r="254" spans="1:7" x14ac:dyDescent="0.25">
      <c r="A254" s="87" t="s">
        <v>165</v>
      </c>
      <c r="B254" s="3" t="s">
        <v>73</v>
      </c>
      <c r="C254" s="97">
        <f>+C252</f>
        <v>1</v>
      </c>
      <c r="D254" s="89">
        <v>47.9</v>
      </c>
      <c r="E254" s="89">
        <f>C254*D254</f>
        <v>47.9</v>
      </c>
      <c r="F254" s="122"/>
    </row>
    <row r="255" spans="1:7" x14ac:dyDescent="0.25">
      <c r="A255" s="87" t="s">
        <v>166</v>
      </c>
      <c r="B255" s="138" t="s">
        <v>41</v>
      </c>
      <c r="C255" s="3">
        <v>1</v>
      </c>
      <c r="D255" s="139">
        <f>+E254</f>
        <v>47.9</v>
      </c>
      <c r="E255" s="139">
        <f>+D255/C255</f>
        <v>47.9</v>
      </c>
      <c r="F255" s="122"/>
    </row>
    <row r="256" spans="1:7" x14ac:dyDescent="0.25">
      <c r="A256" s="96"/>
      <c r="B256" s="96"/>
      <c r="C256" s="96"/>
      <c r="D256" s="93" t="s">
        <v>56</v>
      </c>
      <c r="E256" s="94">
        <f>$B$49</f>
        <v>1</v>
      </c>
      <c r="F256" s="118">
        <f>(E253+E255)*E256</f>
        <v>50.4</v>
      </c>
    </row>
    <row r="257" spans="1:7" s="141" customFormat="1" ht="11.25" customHeight="1" x14ac:dyDescent="0.25">
      <c r="A257" s="14"/>
      <c r="B257" s="14"/>
      <c r="C257" s="14"/>
      <c r="D257" s="15"/>
      <c r="E257" s="15"/>
      <c r="F257" s="15"/>
      <c r="G257" s="140"/>
    </row>
    <row r="258" spans="1:7" x14ac:dyDescent="0.25">
      <c r="A258" s="106" t="s">
        <v>167</v>
      </c>
      <c r="B258" s="107"/>
      <c r="C258" s="107"/>
      <c r="D258" s="52"/>
      <c r="E258" s="108"/>
      <c r="F258" s="118">
        <f>+F256</f>
        <v>50.4</v>
      </c>
    </row>
    <row r="259" spans="1:7" ht="11.25" customHeight="1" x14ac:dyDescent="0.25"/>
    <row r="260" spans="1:7" ht="17.25" customHeight="1" x14ac:dyDescent="0.25">
      <c r="A260" s="106" t="s">
        <v>168</v>
      </c>
      <c r="B260" s="115"/>
      <c r="C260" s="115"/>
      <c r="D260" s="116"/>
      <c r="E260" s="117"/>
      <c r="F260" s="105">
        <f>F119+F153+F232+F247+F258+0.01</f>
        <v>332544.83649599837</v>
      </c>
    </row>
    <row r="261" spans="1:7" ht="11.25" customHeight="1" x14ac:dyDescent="0.25"/>
    <row r="262" spans="1:7" x14ac:dyDescent="0.25">
      <c r="A262" s="38" t="s">
        <v>169</v>
      </c>
    </row>
    <row r="263" spans="1:7" ht="11.25" customHeight="1" x14ac:dyDescent="0.25"/>
    <row r="264" spans="1:7" x14ac:dyDescent="0.25">
      <c r="A264" s="80" t="s">
        <v>35</v>
      </c>
      <c r="B264" s="81" t="s">
        <v>36</v>
      </c>
      <c r="C264" s="81" t="s">
        <v>29</v>
      </c>
      <c r="D264" s="82" t="s">
        <v>37</v>
      </c>
      <c r="E264" s="82" t="s">
        <v>38</v>
      </c>
      <c r="F264" s="83" t="s">
        <v>39</v>
      </c>
    </row>
    <row r="265" spans="1:7" x14ac:dyDescent="0.25">
      <c r="A265" s="84" t="s">
        <v>170</v>
      </c>
      <c r="B265" s="85" t="s">
        <v>25</v>
      </c>
      <c r="C265" s="89">
        <v>33.72</v>
      </c>
      <c r="D265" s="86">
        <f>+F260</f>
        <v>332544.83649599837</v>
      </c>
      <c r="E265" s="86">
        <f>C265*D265/100</f>
        <v>112134.11886645066</v>
      </c>
    </row>
    <row r="266" spans="1:7" x14ac:dyDescent="0.25">
      <c r="F266" s="118">
        <f>+E265</f>
        <v>112134.11886645066</v>
      </c>
    </row>
    <row r="267" spans="1:7" ht="11.25" customHeight="1" x14ac:dyDescent="0.25"/>
    <row r="268" spans="1:7" x14ac:dyDescent="0.25">
      <c r="A268" s="106" t="s">
        <v>171</v>
      </c>
      <c r="B268" s="115"/>
      <c r="C268" s="115"/>
      <c r="D268" s="116"/>
      <c r="E268" s="117"/>
      <c r="F268" s="105">
        <f>F266</f>
        <v>112134.11886645066</v>
      </c>
    </row>
    <row r="269" spans="1:7" x14ac:dyDescent="0.25">
      <c r="A269" s="38"/>
      <c r="B269" s="38"/>
      <c r="C269" s="38"/>
      <c r="D269" s="37"/>
      <c r="E269" s="37"/>
      <c r="F269" s="91"/>
    </row>
    <row r="270" spans="1:7" ht="11.25" customHeight="1" x14ac:dyDescent="0.25"/>
    <row r="271" spans="1:7" ht="24.75" customHeight="1" x14ac:dyDescent="0.25">
      <c r="A271" s="106" t="s">
        <v>172</v>
      </c>
      <c r="B271" s="115"/>
      <c r="C271" s="115"/>
      <c r="D271" s="116"/>
      <c r="E271" s="117"/>
      <c r="F271" s="105">
        <f>F260+F268-3.96</f>
        <v>444674.99536244903</v>
      </c>
      <c r="G271" s="15">
        <v>215860</v>
      </c>
    </row>
    <row r="272" spans="1:7" ht="12" customHeight="1" x14ac:dyDescent="0.25">
      <c r="A272" s="16"/>
      <c r="B272" s="16"/>
      <c r="C272" s="16"/>
      <c r="D272" s="142"/>
      <c r="E272" s="142"/>
      <c r="F272" s="142"/>
      <c r="G272" s="143">
        <f>F271/G271-1</f>
        <v>1.0600157294656212</v>
      </c>
    </row>
    <row r="273" spans="1:7" ht="13.8" x14ac:dyDescent="0.25">
      <c r="A273" s="24"/>
      <c r="B273" s="24"/>
      <c r="C273" s="24"/>
      <c r="D273" s="23"/>
      <c r="E273" s="23"/>
    </row>
    <row r="274" spans="1:7" ht="15.75" customHeight="1" x14ac:dyDescent="0.25">
      <c r="A274" s="144" t="s">
        <v>173</v>
      </c>
      <c r="B274" s="145"/>
      <c r="C274" s="145"/>
      <c r="D274" s="61">
        <v>1100</v>
      </c>
      <c r="E274" s="146" t="s">
        <v>174</v>
      </c>
    </row>
    <row r="276" spans="1:7" ht="25.5" customHeight="1" x14ac:dyDescent="0.25">
      <c r="A276" s="106" t="s">
        <v>175</v>
      </c>
      <c r="B276" s="107"/>
      <c r="C276" s="107"/>
      <c r="D276" s="52"/>
      <c r="E276" s="147" t="s">
        <v>176</v>
      </c>
      <c r="F276" s="148">
        <f>IFERROR(F271/D274,"-")</f>
        <v>404.24999578404459</v>
      </c>
      <c r="G276" s="15">
        <f>G271/D274</f>
        <v>196.23636363636365</v>
      </c>
    </row>
    <row r="277" spans="1:7" ht="12" customHeight="1" x14ac:dyDescent="0.25">
      <c r="A277" s="38"/>
      <c r="B277" s="38"/>
      <c r="C277" s="38"/>
      <c r="D277" s="37"/>
      <c r="E277" s="37"/>
      <c r="F277" s="37"/>
      <c r="G277" s="143">
        <f>F276/G276-1</f>
        <v>1.0600157294656212</v>
      </c>
    </row>
    <row r="278" spans="1:7" s="19" customFormat="1" ht="9.75" customHeight="1" x14ac:dyDescent="0.25">
      <c r="A278" s="142"/>
      <c r="B278" s="15"/>
      <c r="C278" s="15"/>
      <c r="D278" s="15"/>
      <c r="E278" s="15"/>
      <c r="F278" s="15"/>
      <c r="G278" s="21"/>
    </row>
    <row r="279" spans="1:7" s="19" customFormat="1" ht="9.75" customHeight="1" x14ac:dyDescent="0.25">
      <c r="A279" s="142"/>
      <c r="B279" s="15"/>
      <c r="C279" s="15"/>
      <c r="D279" s="15"/>
      <c r="E279" s="15"/>
      <c r="F279" s="15"/>
      <c r="G279" s="21"/>
    </row>
    <row r="280" spans="1:7" s="19" customFormat="1" ht="9.75" customHeight="1" x14ac:dyDescent="0.25">
      <c r="A280" s="142"/>
      <c r="B280" s="15"/>
      <c r="C280" s="15"/>
      <c r="D280" s="15"/>
      <c r="E280" s="15"/>
      <c r="F280" s="15"/>
      <c r="G280" s="21"/>
    </row>
    <row r="310" s="14" customFormat="1" ht="9" customHeight="1" x14ac:dyDescent="0.25"/>
  </sheetData>
  <mergeCells count="7">
    <mergeCell ref="A39:D39"/>
    <mergeCell ref="A45:D45"/>
    <mergeCell ref="A11:F11"/>
    <mergeCell ref="A12:F12"/>
    <mergeCell ref="A14:F14"/>
    <mergeCell ref="A23:C23"/>
    <mergeCell ref="A38:E38"/>
  </mergeCells>
  <hyperlinks>
    <hyperlink ref="A159" location="AbaDeprec" display="3.1.1. Depreciação" xr:uid="{00000000-0004-0000-0100-000000000000}"/>
    <hyperlink ref="A175" location="AbaRemun" display="3.1.2. Remuneração do Capital" xr:uid="{00000000-0004-0000-0100-000001000000}"/>
  </hyperlinks>
  <pageMargins left="0.905555555555556" right="0.51180555555555596" top="0.74791666666666701" bottom="0.74791666666666701" header="0.511811023622047" footer="0.31527777777777799"/>
  <pageSetup paperSize="9" scale="76" orientation="portrait" horizontalDpi="300" verticalDpi="300" r:id="rId1"/>
  <headerFooter>
    <oddFooter>&amp;R&amp;P de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J379"/>
  <sheetViews>
    <sheetView view="pageBreakPreview" topLeftCell="A319" zoomScaleNormal="100" workbookViewId="0">
      <selection activeCell="A361" sqref="A361"/>
    </sheetView>
  </sheetViews>
  <sheetFormatPr defaultColWidth="9.109375" defaultRowHeight="13.2" x14ac:dyDescent="0.25"/>
  <cols>
    <col min="1" max="1" width="44.5546875" style="14" customWidth="1"/>
    <col min="2" max="2" width="16" style="14" customWidth="1"/>
    <col min="3" max="3" width="11.88671875" style="14" customWidth="1"/>
    <col min="4" max="4" width="14.6640625" style="15" customWidth="1"/>
    <col min="5" max="5" width="15.44140625" style="15" customWidth="1"/>
    <col min="6" max="6" width="13.33203125" style="15" customWidth="1"/>
    <col min="7" max="7" width="28.109375" style="15" customWidth="1"/>
    <col min="8" max="8" width="9.109375" style="14"/>
    <col min="9" max="9" width="14.5546875" style="14" customWidth="1"/>
    <col min="10" max="10" width="13.44140625" style="14" customWidth="1"/>
    <col min="11" max="16384" width="9.109375" style="14"/>
  </cols>
  <sheetData>
    <row r="1" spans="1:7" ht="15.6" x14ac:dyDescent="0.25">
      <c r="A1" s="16" t="s">
        <v>12</v>
      </c>
    </row>
    <row r="2" spans="1:7" ht="15.6" x14ac:dyDescent="0.25">
      <c r="A2" s="17" t="s">
        <v>13</v>
      </c>
    </row>
    <row r="3" spans="1:7" ht="15.6" x14ac:dyDescent="0.25">
      <c r="A3" s="17" t="s">
        <v>14</v>
      </c>
    </row>
    <row r="4" spans="1:7" ht="15.6" x14ac:dyDescent="0.25">
      <c r="A4" s="17" t="s">
        <v>15</v>
      </c>
    </row>
    <row r="5" spans="1:7" s="19" customFormat="1" ht="15" customHeight="1" x14ac:dyDescent="0.25">
      <c r="A5" s="18" t="s">
        <v>16</v>
      </c>
      <c r="C5" s="20"/>
      <c r="D5" s="20"/>
      <c r="E5" s="20"/>
      <c r="F5" s="20"/>
      <c r="G5" s="21"/>
    </row>
    <row r="6" spans="1:7" s="19" customFormat="1" ht="15" customHeight="1" x14ac:dyDescent="0.25">
      <c r="A6" s="22" t="s">
        <v>17</v>
      </c>
      <c r="B6" s="20"/>
      <c r="C6" s="20"/>
      <c r="D6" s="20"/>
      <c r="E6" s="20"/>
      <c r="F6" s="20"/>
      <c r="G6" s="21"/>
    </row>
    <row r="7" spans="1:7" s="19" customFormat="1" ht="15" customHeight="1" x14ac:dyDescent="0.25">
      <c r="A7" s="14"/>
      <c r="B7" s="20"/>
      <c r="C7" s="20"/>
      <c r="D7" s="20"/>
      <c r="E7" s="20"/>
      <c r="F7" s="20"/>
      <c r="G7" s="21"/>
    </row>
    <row r="8" spans="1:7" s="19" customFormat="1" ht="15" customHeight="1" x14ac:dyDescent="0.25">
      <c r="A8" s="17" t="s">
        <v>18</v>
      </c>
      <c r="B8" s="20"/>
      <c r="C8" s="20"/>
      <c r="D8" s="20"/>
      <c r="E8" s="20"/>
      <c r="F8" s="20"/>
      <c r="G8" s="21"/>
    </row>
    <row r="9" spans="1:7" s="19" customFormat="1" ht="15" customHeight="1" x14ac:dyDescent="0.25">
      <c r="A9" s="17" t="s">
        <v>19</v>
      </c>
      <c r="B9" s="20"/>
      <c r="C9" s="20"/>
      <c r="D9" s="20"/>
      <c r="E9" s="20"/>
      <c r="F9" s="20"/>
      <c r="G9" s="21"/>
    </row>
    <row r="10" spans="1:7" s="19" customFormat="1" ht="16.5" customHeight="1" x14ac:dyDescent="0.25">
      <c r="A10" s="14"/>
      <c r="B10" s="20"/>
      <c r="C10" s="20"/>
      <c r="D10" s="21"/>
      <c r="E10" s="21"/>
      <c r="F10" s="21"/>
      <c r="G10" s="21"/>
    </row>
    <row r="11" spans="1:7" s="24" customFormat="1" ht="17.399999999999999" x14ac:dyDescent="0.25">
      <c r="A11" s="161" t="s">
        <v>177</v>
      </c>
      <c r="B11" s="161"/>
      <c r="C11" s="161"/>
      <c r="D11" s="161"/>
      <c r="E11" s="161"/>
      <c r="F11" s="161"/>
      <c r="G11" s="23"/>
    </row>
    <row r="12" spans="1:7" s="24" customFormat="1" ht="21.75" customHeight="1" x14ac:dyDescent="0.25">
      <c r="A12" s="162" t="s">
        <v>21</v>
      </c>
      <c r="B12" s="162"/>
      <c r="C12" s="162"/>
      <c r="D12" s="162"/>
      <c r="E12" s="162"/>
      <c r="F12" s="162"/>
      <c r="G12" s="23"/>
    </row>
    <row r="13" spans="1:7" s="19" customFormat="1" ht="10.5" customHeight="1" x14ac:dyDescent="0.25">
      <c r="A13" s="25"/>
      <c r="B13" s="20"/>
      <c r="C13" s="20"/>
      <c r="D13" s="21"/>
      <c r="E13" s="21"/>
      <c r="F13" s="26"/>
      <c r="G13" s="21"/>
    </row>
    <row r="14" spans="1:7" s="19" customFormat="1" ht="15.75" customHeight="1" x14ac:dyDescent="0.25">
      <c r="A14" s="163" t="s">
        <v>22</v>
      </c>
      <c r="B14" s="163"/>
      <c r="C14" s="163"/>
      <c r="D14" s="163"/>
      <c r="E14" s="163"/>
      <c r="F14" s="163"/>
      <c r="G14" s="21"/>
    </row>
    <row r="15" spans="1:7" s="19" customFormat="1" ht="15.75" customHeight="1" x14ac:dyDescent="0.25">
      <c r="A15" s="27" t="s">
        <v>23</v>
      </c>
      <c r="B15" s="28"/>
      <c r="C15" s="28"/>
      <c r="D15" s="29"/>
      <c r="E15" s="30" t="s">
        <v>24</v>
      </c>
      <c r="F15" s="31" t="s">
        <v>25</v>
      </c>
      <c r="G15" s="21"/>
    </row>
    <row r="16" spans="1:7" s="38" customFormat="1" ht="15.75" customHeight="1" x14ac:dyDescent="0.25">
      <c r="A16" s="32" t="str">
        <f>A56</f>
        <v>1. Mão-de-obra</v>
      </c>
      <c r="B16" s="33"/>
      <c r="C16" s="34"/>
      <c r="D16" s="34"/>
      <c r="E16" s="35">
        <f>+F188</f>
        <v>162786.67892678641</v>
      </c>
      <c r="F16" s="36">
        <f t="shared" ref="F16:F39" si="0">IFERROR(E16/$E$40,0)</f>
        <v>0.25315280279123442</v>
      </c>
      <c r="G16" s="37"/>
    </row>
    <row r="17" spans="1:7" s="19" customFormat="1" ht="15.75" customHeight="1" x14ac:dyDescent="0.25">
      <c r="A17" s="39" t="str">
        <f>A58</f>
        <v>1.1. Coletor Turno Dia</v>
      </c>
      <c r="B17" s="40"/>
      <c r="C17" s="41"/>
      <c r="D17" s="41"/>
      <c r="E17" s="42">
        <f>F69</f>
        <v>88948.198476821184</v>
      </c>
      <c r="F17" s="43">
        <f t="shared" si="0"/>
        <v>0.13832511293977298</v>
      </c>
      <c r="G17" s="21"/>
    </row>
    <row r="18" spans="1:7" s="19" customFormat="1" ht="15.75" customHeight="1" x14ac:dyDescent="0.25">
      <c r="A18" s="39" t="str">
        <f>A71</f>
        <v>1.1.1. Coletor Turno Dia - DOMINGOS</v>
      </c>
      <c r="B18" s="40"/>
      <c r="C18" s="41"/>
      <c r="D18" s="41"/>
      <c r="E18" s="42">
        <f>F85</f>
        <v>3121.7545845159261</v>
      </c>
      <c r="F18" s="43">
        <f t="shared" si="0"/>
        <v>4.8547026569171698E-3</v>
      </c>
      <c r="G18" s="21"/>
    </row>
    <row r="19" spans="1:7" s="19" customFormat="1" ht="15.75" customHeight="1" x14ac:dyDescent="0.25">
      <c r="A19" s="39" t="str">
        <f>A87</f>
        <v>1.2. Motorista Turno do Dia</v>
      </c>
      <c r="B19" s="40"/>
      <c r="C19" s="41"/>
      <c r="D19" s="41"/>
      <c r="E19" s="42">
        <f>F100</f>
        <v>38110.33825033113</v>
      </c>
      <c r="F19" s="43">
        <f t="shared" si="0"/>
        <v>5.9266145160025048E-2</v>
      </c>
      <c r="G19" s="21"/>
    </row>
    <row r="20" spans="1:7" s="19" customFormat="1" ht="15.75" customHeight="1" x14ac:dyDescent="0.25">
      <c r="A20" s="39" t="str">
        <f>A102</f>
        <v>1.2.1. Motorista Turno do Dia - DOMINGOS</v>
      </c>
      <c r="B20" s="40"/>
      <c r="C20" s="41"/>
      <c r="D20" s="41"/>
      <c r="E20" s="42">
        <f>F116</f>
        <v>1434.5635229422896</v>
      </c>
      <c r="F20" s="43">
        <f t="shared" si="0"/>
        <v>2.2309182729763869E-3</v>
      </c>
      <c r="G20" s="21"/>
    </row>
    <row r="21" spans="1:7" s="19" customFormat="1" ht="15.75" customHeight="1" x14ac:dyDescent="0.25">
      <c r="A21" s="39" t="str">
        <f>A118</f>
        <v>1.3. Fiscal Turno do Dia</v>
      </c>
      <c r="B21" s="40"/>
      <c r="C21" s="41"/>
      <c r="D21" s="41"/>
      <c r="E21" s="42">
        <f>F131</f>
        <v>5899.6635399999996</v>
      </c>
      <c r="F21" s="43">
        <f t="shared" si="0"/>
        <v>9.1746841358436183E-3</v>
      </c>
      <c r="G21" s="21"/>
    </row>
    <row r="22" spans="1:7" s="19" customFormat="1" ht="15.75" customHeight="1" x14ac:dyDescent="0.25">
      <c r="A22" s="39" t="str">
        <f>A133</f>
        <v>1.3. Fiscal Turno do Dia - DOMINGOS</v>
      </c>
      <c r="B22" s="40"/>
      <c r="C22" s="41"/>
      <c r="D22" s="41"/>
      <c r="E22" s="42">
        <f>F147</f>
        <v>1700.3216786410703</v>
      </c>
      <c r="F22" s="43">
        <f t="shared" si="0"/>
        <v>2.6442040677559079E-3</v>
      </c>
      <c r="G22" s="21"/>
    </row>
    <row r="23" spans="1:7" s="19" customFormat="1" ht="15.75" customHeight="1" x14ac:dyDescent="0.25">
      <c r="A23" s="39" t="str">
        <f>A149</f>
        <v>1.4. Vale Transporte</v>
      </c>
      <c r="B23" s="40"/>
      <c r="C23" s="41"/>
      <c r="D23" s="41"/>
      <c r="E23" s="42">
        <f>F156</f>
        <v>5696.8901999999998</v>
      </c>
      <c r="F23" s="43">
        <f t="shared" si="0"/>
        <v>8.8593472809439192E-3</v>
      </c>
      <c r="G23" s="21"/>
    </row>
    <row r="24" spans="1:7" s="19" customFormat="1" ht="15.75" customHeight="1" x14ac:dyDescent="0.25">
      <c r="A24" s="39" t="str">
        <f>A158</f>
        <v>1.4.1. Vale Transporte - DOMINGOS</v>
      </c>
      <c r="B24" s="40"/>
      <c r="C24" s="41"/>
      <c r="D24" s="41"/>
      <c r="E24" s="42">
        <f>F165</f>
        <v>156.41022115384618</v>
      </c>
      <c r="F24" s="43">
        <f t="shared" si="0"/>
        <v>2.4323664645865288E-4</v>
      </c>
      <c r="G24" s="21"/>
    </row>
    <row r="25" spans="1:7" s="19" customFormat="1" ht="15.75" customHeight="1" x14ac:dyDescent="0.25">
      <c r="A25" s="39" t="str">
        <f>A167</f>
        <v>1.5. Vale-refeição (diário)</v>
      </c>
      <c r="B25" s="40"/>
      <c r="C25" s="41"/>
      <c r="D25" s="41"/>
      <c r="E25" s="42">
        <f>F172</f>
        <v>16912.22</v>
      </c>
      <c r="F25" s="43">
        <f t="shared" si="0"/>
        <v>2.6300529764769803E-2</v>
      </c>
      <c r="G25" s="21"/>
    </row>
    <row r="26" spans="1:7" s="19" customFormat="1" ht="15.75" customHeight="1" x14ac:dyDescent="0.25">
      <c r="A26" s="39" t="str">
        <f>A174</f>
        <v>1.5.1 Vale-refeição (diário) - DOMINGOS</v>
      </c>
      <c r="B26" s="40"/>
      <c r="C26" s="41"/>
      <c r="D26" s="41"/>
      <c r="E26" s="42">
        <f>F179</f>
        <v>487.31845238095246</v>
      </c>
      <c r="F26" s="43">
        <f t="shared" si="0"/>
        <v>7.5783861975345606E-4</v>
      </c>
      <c r="G26" s="21"/>
    </row>
    <row r="27" spans="1:7" s="19" customFormat="1" ht="15.75" customHeight="1" x14ac:dyDescent="0.25">
      <c r="A27" s="39" t="str">
        <f>A181</f>
        <v>1.6. Benefício de Assistência ao Trabalhador (mensal)</v>
      </c>
      <c r="B27" s="40"/>
      <c r="C27" s="41"/>
      <c r="D27" s="41"/>
      <c r="E27" s="42">
        <f>F186</f>
        <v>319</v>
      </c>
      <c r="F27" s="43">
        <f t="shared" si="0"/>
        <v>4.9608324601746934E-4</v>
      </c>
      <c r="G27" s="21"/>
    </row>
    <row r="28" spans="1:7" s="38" customFormat="1" ht="15.75" customHeight="1" x14ac:dyDescent="0.25">
      <c r="A28" s="164" t="str">
        <f>A190</f>
        <v>2. Uniformes e Equipamentos de Proteção Individual</v>
      </c>
      <c r="B28" s="164"/>
      <c r="C28" s="164"/>
      <c r="D28" s="34"/>
      <c r="E28" s="35">
        <f>+F222</f>
        <v>5783.5050000000001</v>
      </c>
      <c r="F28" s="36">
        <f t="shared" si="0"/>
        <v>8.9940436794929916E-3</v>
      </c>
      <c r="G28" s="37"/>
    </row>
    <row r="29" spans="1:7" s="38" customFormat="1" ht="15.75" customHeight="1" x14ac:dyDescent="0.25">
      <c r="A29" s="44" t="str">
        <f>A224</f>
        <v>3. Veículos e Equipamentos</v>
      </c>
      <c r="B29" s="45"/>
      <c r="C29" s="34"/>
      <c r="D29" s="34"/>
      <c r="E29" s="35">
        <f>+F301</f>
        <v>170277.82230143686</v>
      </c>
      <c r="F29" s="36">
        <f t="shared" si="0"/>
        <v>0.26480242887800198</v>
      </c>
      <c r="G29" s="37"/>
    </row>
    <row r="30" spans="1:7" s="19" customFormat="1" ht="15.75" customHeight="1" x14ac:dyDescent="0.25">
      <c r="A30" s="46" t="str">
        <f>A226</f>
        <v>3.1. Veículo Coletor Compactador 15 m³</v>
      </c>
      <c r="B30" s="47"/>
      <c r="C30" s="41"/>
      <c r="D30" s="41"/>
      <c r="E30" s="42">
        <f>SUM(E31:E36)</f>
        <v>170277.82230143686</v>
      </c>
      <c r="F30" s="48">
        <f t="shared" si="0"/>
        <v>0.26480242887800198</v>
      </c>
      <c r="G30" s="21"/>
    </row>
    <row r="31" spans="1:7" s="19" customFormat="1" ht="15.75" customHeight="1" x14ac:dyDescent="0.25">
      <c r="A31" s="46" t="str">
        <f>A228</f>
        <v>3.1.1. Depreciação</v>
      </c>
      <c r="B31" s="47"/>
      <c r="C31" s="41"/>
      <c r="D31" s="41"/>
      <c r="E31" s="42">
        <f>F242</f>
        <v>38464.35251083265</v>
      </c>
      <c r="F31" s="48">
        <f t="shared" si="0"/>
        <v>5.9816679779103633E-2</v>
      </c>
      <c r="G31" s="21"/>
    </row>
    <row r="32" spans="1:7" s="19" customFormat="1" ht="15.75" customHeight="1" x14ac:dyDescent="0.25">
      <c r="A32" s="46" t="str">
        <f>A244</f>
        <v>3.1.2. Remuneração do Capital</v>
      </c>
      <c r="B32" s="47"/>
      <c r="C32" s="41"/>
      <c r="D32" s="41"/>
      <c r="E32" s="42">
        <f>F258</f>
        <v>28310.88814277752</v>
      </c>
      <c r="F32" s="48">
        <f t="shared" si="0"/>
        <v>4.402682535268513E-2</v>
      </c>
      <c r="G32" s="21"/>
    </row>
    <row r="33" spans="1:7" s="19" customFormat="1" ht="15.75" customHeight="1" x14ac:dyDescent="0.25">
      <c r="A33" s="46" t="str">
        <f>A260</f>
        <v>3.1.3. Impostos, Taxas e Seguros</v>
      </c>
      <c r="B33" s="47"/>
      <c r="C33" s="41"/>
      <c r="D33" s="41"/>
      <c r="E33" s="42">
        <f>F266</f>
        <v>8496.1087500000012</v>
      </c>
      <c r="F33" s="48">
        <f t="shared" si="0"/>
        <v>1.3212467734223902E-2</v>
      </c>
      <c r="G33" s="21"/>
    </row>
    <row r="34" spans="1:7" s="19" customFormat="1" ht="15.75" customHeight="1" x14ac:dyDescent="0.25">
      <c r="A34" s="46" t="str">
        <f>A268</f>
        <v>3.1.4. Consumos</v>
      </c>
      <c r="B34" s="47"/>
      <c r="C34" s="41"/>
      <c r="D34" s="41"/>
      <c r="E34" s="42">
        <f>F284</f>
        <v>72532.316097826668</v>
      </c>
      <c r="F34" s="48">
        <f t="shared" si="0"/>
        <v>0.11279644768330721</v>
      </c>
      <c r="G34" s="21"/>
    </row>
    <row r="35" spans="1:7" s="19" customFormat="1" ht="15.75" customHeight="1" x14ac:dyDescent="0.25">
      <c r="A35" s="46" t="str">
        <f>A286</f>
        <v>3.1.5. Manutenção</v>
      </c>
      <c r="B35" s="47"/>
      <c r="C35" s="41"/>
      <c r="D35" s="41"/>
      <c r="E35" s="42">
        <f>F289</f>
        <v>14291.472</v>
      </c>
      <c r="F35" s="48">
        <f t="shared" si="0"/>
        <v>2.2224952414193651E-2</v>
      </c>
      <c r="G35" s="21"/>
    </row>
    <row r="36" spans="1:7" s="19" customFormat="1" ht="15.75" customHeight="1" x14ac:dyDescent="0.25">
      <c r="A36" s="46" t="str">
        <f>A291</f>
        <v>3.1.6. Pneus</v>
      </c>
      <c r="B36" s="47"/>
      <c r="C36" s="41"/>
      <c r="D36" s="41"/>
      <c r="E36" s="42">
        <f>F298</f>
        <v>8182.6848</v>
      </c>
      <c r="F36" s="48">
        <f t="shared" si="0"/>
        <v>1.2725055914488423E-2</v>
      </c>
      <c r="G36" s="21"/>
    </row>
    <row r="37" spans="1:7" s="38" customFormat="1" ht="15.75" customHeight="1" x14ac:dyDescent="0.25">
      <c r="A37" s="44" t="str">
        <f>A303</f>
        <v>4. Ferramentas e Materiais de Consumo</v>
      </c>
      <c r="B37" s="45"/>
      <c r="C37" s="34"/>
      <c r="D37" s="34"/>
      <c r="E37" s="35">
        <f>+F316</f>
        <v>141984.96000000002</v>
      </c>
      <c r="F37" s="36">
        <f t="shared" si="0"/>
        <v>0.22080363586978233</v>
      </c>
      <c r="G37" s="37"/>
    </row>
    <row r="38" spans="1:7" s="38" customFormat="1" ht="15.75" customHeight="1" x14ac:dyDescent="0.25">
      <c r="A38" s="44" t="str">
        <f>A318</f>
        <v>5. Monitoramento da Frota</v>
      </c>
      <c r="B38" s="45"/>
      <c r="C38" s="34"/>
      <c r="D38" s="34"/>
      <c r="E38" s="35">
        <f>+F327</f>
        <v>50.4</v>
      </c>
      <c r="F38" s="36">
        <f t="shared" si="0"/>
        <v>7.8378042630973215E-5</v>
      </c>
      <c r="G38" s="37"/>
    </row>
    <row r="39" spans="1:7" s="38" customFormat="1" ht="15.75" customHeight="1" x14ac:dyDescent="0.25">
      <c r="A39" s="44" t="str">
        <f>A331</f>
        <v>6. Benefícios e Despesas Indiretas - BDI</v>
      </c>
      <c r="B39" s="45"/>
      <c r="C39" s="34"/>
      <c r="D39" s="34"/>
      <c r="E39" s="49">
        <f>+F337</f>
        <v>162153.87109215689</v>
      </c>
      <c r="F39" s="36">
        <f t="shared" si="0"/>
        <v>0.25216871073885733</v>
      </c>
      <c r="G39" s="37"/>
    </row>
    <row r="40" spans="1:7" s="19" customFormat="1" ht="15.75" customHeight="1" x14ac:dyDescent="0.25">
      <c r="A40" s="50" t="s">
        <v>26</v>
      </c>
      <c r="B40" s="51"/>
      <c r="C40" s="52"/>
      <c r="D40" s="52"/>
      <c r="E40" s="53">
        <f>E16+E28+E29+E37+E38+E39</f>
        <v>643037.23732038017</v>
      </c>
      <c r="F40" s="54">
        <f>F16+F28+F29+F37+F38+F39</f>
        <v>1</v>
      </c>
      <c r="G40" s="21"/>
    </row>
    <row r="43" spans="1:7" s="19" customFormat="1" ht="15" customHeight="1" x14ac:dyDescent="0.25">
      <c r="A43" s="163" t="s">
        <v>27</v>
      </c>
      <c r="B43" s="163"/>
      <c r="C43" s="163"/>
      <c r="D43" s="163"/>
      <c r="E43" s="163"/>
      <c r="F43" s="15"/>
      <c r="G43" s="21"/>
    </row>
    <row r="44" spans="1:7" s="19" customFormat="1" ht="15" customHeight="1" x14ac:dyDescent="0.25">
      <c r="A44" s="159" t="s">
        <v>28</v>
      </c>
      <c r="B44" s="159"/>
      <c r="C44" s="159"/>
      <c r="D44" s="159"/>
      <c r="E44" s="55" t="s">
        <v>29</v>
      </c>
      <c r="F44" s="15"/>
      <c r="G44" s="21"/>
    </row>
    <row r="45" spans="1:7" s="19" customFormat="1" ht="15" customHeight="1" x14ac:dyDescent="0.25">
      <c r="A45" s="56" t="str">
        <f>+A58</f>
        <v>1.1. Coletor Turno Dia</v>
      </c>
      <c r="B45" s="57"/>
      <c r="C45" s="57"/>
      <c r="D45" s="58"/>
      <c r="E45" s="59">
        <f>C68</f>
        <v>21</v>
      </c>
      <c r="F45" s="15"/>
      <c r="G45" s="21"/>
    </row>
    <row r="46" spans="1:7" s="19" customFormat="1" ht="15" customHeight="1" x14ac:dyDescent="0.25">
      <c r="A46" s="60" t="str">
        <f>+A87</f>
        <v>1.2. Motorista Turno do Dia</v>
      </c>
      <c r="B46" s="61"/>
      <c r="C46" s="61"/>
      <c r="D46" s="62"/>
      <c r="E46" s="63">
        <f>C99</f>
        <v>7</v>
      </c>
      <c r="F46" s="15"/>
      <c r="G46" s="21"/>
    </row>
    <row r="47" spans="1:7" s="19" customFormat="1" ht="15" customHeight="1" x14ac:dyDescent="0.25">
      <c r="A47" s="60" t="str">
        <f>A118</f>
        <v>1.3. Fiscal Turno do Dia</v>
      </c>
      <c r="B47" s="61"/>
      <c r="C47" s="61"/>
      <c r="D47" s="62"/>
      <c r="E47" s="63">
        <f>C130</f>
        <v>1</v>
      </c>
      <c r="F47" s="15"/>
      <c r="G47" s="21"/>
    </row>
    <row r="48" spans="1:7" s="19" customFormat="1" ht="15" customHeight="1" x14ac:dyDescent="0.25">
      <c r="A48" s="64" t="s">
        <v>30</v>
      </c>
      <c r="B48" s="65"/>
      <c r="C48" s="65"/>
      <c r="D48" s="66"/>
      <c r="E48" s="67">
        <f>SUM(E45:E47)</f>
        <v>29</v>
      </c>
      <c r="F48" s="15"/>
      <c r="G48" s="21"/>
    </row>
    <row r="49" spans="1:7" s="19" customFormat="1" ht="15" customHeight="1" x14ac:dyDescent="0.25">
      <c r="A49" s="68"/>
      <c r="B49" s="69"/>
      <c r="C49" s="15"/>
      <c r="D49" s="15"/>
      <c r="E49" s="70"/>
      <c r="F49" s="15"/>
      <c r="G49" s="21"/>
    </row>
    <row r="50" spans="1:7" s="19" customFormat="1" ht="15" customHeight="1" x14ac:dyDescent="0.25">
      <c r="A50" s="160" t="s">
        <v>31</v>
      </c>
      <c r="B50" s="160"/>
      <c r="C50" s="160"/>
      <c r="D50" s="160"/>
      <c r="E50" s="55" t="s">
        <v>29</v>
      </c>
      <c r="F50" s="14"/>
      <c r="G50" s="21"/>
    </row>
    <row r="51" spans="1:7" s="19" customFormat="1" ht="15" customHeight="1" x14ac:dyDescent="0.25">
      <c r="A51" s="71" t="str">
        <f>+A226</f>
        <v>3.1. Veículo Coletor Compactador 15 m³</v>
      </c>
      <c r="B51" s="72"/>
      <c r="C51" s="72"/>
      <c r="D51" s="73"/>
      <c r="E51" s="74">
        <f>C241</f>
        <v>8</v>
      </c>
      <c r="F51" s="14"/>
      <c r="G51" s="21"/>
    </row>
    <row r="52" spans="1:7" s="19" customFormat="1" ht="15" customHeight="1" x14ac:dyDescent="0.25">
      <c r="A52" s="15"/>
      <c r="B52" s="15"/>
      <c r="C52" s="15"/>
      <c r="D52" s="14"/>
      <c r="E52" s="75"/>
      <c r="F52" s="14"/>
      <c r="G52" s="21"/>
    </row>
    <row r="53" spans="1:7" s="19" customFormat="1" x14ac:dyDescent="0.25">
      <c r="A53" s="15"/>
      <c r="B53" s="15"/>
      <c r="C53" s="15"/>
      <c r="D53" s="14"/>
      <c r="E53" s="76"/>
      <c r="F53" s="14"/>
      <c r="G53" s="21"/>
    </row>
    <row r="54" spans="1:7" s="38" customFormat="1" ht="15.75" customHeight="1" x14ac:dyDescent="0.25">
      <c r="A54" s="77" t="s">
        <v>32</v>
      </c>
      <c r="B54" s="78">
        <v>1</v>
      </c>
      <c r="C54" s="37"/>
      <c r="E54" s="79"/>
      <c r="G54" s="37"/>
    </row>
    <row r="55" spans="1:7" s="19" customFormat="1" ht="15.75" customHeight="1" x14ac:dyDescent="0.25">
      <c r="A55" s="15"/>
      <c r="B55" s="15"/>
      <c r="C55" s="15"/>
      <c r="D55" s="14"/>
      <c r="E55" s="76"/>
      <c r="F55" s="14"/>
      <c r="G55" s="21"/>
    </row>
    <row r="56" spans="1:7" ht="12.75" customHeight="1" x14ac:dyDescent="0.25">
      <c r="A56" s="38" t="s">
        <v>33</v>
      </c>
    </row>
    <row r="57" spans="1:7" ht="11.25" customHeight="1" x14ac:dyDescent="0.25"/>
    <row r="58" spans="1:7" ht="13.5" customHeight="1" x14ac:dyDescent="0.25">
      <c r="A58" s="14" t="s">
        <v>34</v>
      </c>
    </row>
    <row r="59" spans="1:7" ht="13.5" customHeight="1" x14ac:dyDescent="0.25">
      <c r="A59" s="80" t="s">
        <v>35</v>
      </c>
      <c r="B59" s="81" t="s">
        <v>36</v>
      </c>
      <c r="C59" s="81" t="s">
        <v>29</v>
      </c>
      <c r="D59" s="82" t="s">
        <v>37</v>
      </c>
      <c r="E59" s="82" t="s">
        <v>38</v>
      </c>
      <c r="F59" s="83" t="s">
        <v>39</v>
      </c>
    </row>
    <row r="60" spans="1:7" ht="12.75" customHeight="1" x14ac:dyDescent="0.25">
      <c r="A60" s="84" t="s">
        <v>40</v>
      </c>
      <c r="B60" s="85" t="s">
        <v>41</v>
      </c>
      <c r="C60" s="85">
        <v>1</v>
      </c>
      <c r="D60" s="86">
        <v>1730</v>
      </c>
      <c r="E60" s="86">
        <f>C60*D60</f>
        <v>1730</v>
      </c>
    </row>
    <row r="61" spans="1:7" x14ac:dyDescent="0.25">
      <c r="A61" s="87" t="s">
        <v>42</v>
      </c>
      <c r="B61" s="3" t="s">
        <v>43</v>
      </c>
      <c r="C61" s="88">
        <f>[1]Feriados!C$32</f>
        <v>6.7466666666666697</v>
      </c>
      <c r="D61" s="89">
        <f>D60/220*2</f>
        <v>15.727272727272727</v>
      </c>
      <c r="E61" s="89">
        <f>C61*D61</f>
        <v>106.10666666666671</v>
      </c>
      <c r="G61" s="15" t="s">
        <v>44</v>
      </c>
    </row>
    <row r="62" spans="1:7" ht="12.75" customHeight="1" x14ac:dyDescent="0.25">
      <c r="A62" s="87" t="s">
        <v>45</v>
      </c>
      <c r="B62" s="3" t="s">
        <v>43</v>
      </c>
      <c r="C62" s="88"/>
      <c r="D62" s="89">
        <f>D60/220*1.5</f>
        <v>11.795454545454545</v>
      </c>
      <c r="E62" s="89">
        <f>C62*D62</f>
        <v>0</v>
      </c>
      <c r="G62" s="15" t="s">
        <v>46</v>
      </c>
    </row>
    <row r="63" spans="1:7" ht="12.75" customHeight="1" x14ac:dyDescent="0.25">
      <c r="A63" s="87" t="s">
        <v>47</v>
      </c>
      <c r="B63" s="3" t="s">
        <v>48</v>
      </c>
      <c r="D63" s="89">
        <f>63/302*(SUM(E61:E62))</f>
        <v>22.134834437086102</v>
      </c>
      <c r="E63" s="89">
        <f>D63</f>
        <v>22.134834437086102</v>
      </c>
      <c r="G63" s="15" t="s">
        <v>49</v>
      </c>
    </row>
    <row r="64" spans="1:7" x14ac:dyDescent="0.25">
      <c r="A64" s="87" t="s">
        <v>50</v>
      </c>
      <c r="B64" s="3" t="s">
        <v>25</v>
      </c>
      <c r="C64" s="3">
        <v>40</v>
      </c>
      <c r="D64" s="89">
        <v>1518</v>
      </c>
      <c r="E64" s="89">
        <f>C64*D64/100</f>
        <v>607.20000000000005</v>
      </c>
    </row>
    <row r="65" spans="1:9" x14ac:dyDescent="0.25">
      <c r="A65" s="90" t="s">
        <v>51</v>
      </c>
      <c r="B65" s="13"/>
      <c r="C65" s="13"/>
      <c r="D65" s="91"/>
      <c r="E65" s="92">
        <f>SUM(E60:E64)</f>
        <v>2465.4415011037527</v>
      </c>
    </row>
    <row r="66" spans="1:9" x14ac:dyDescent="0.25">
      <c r="A66" s="87" t="s">
        <v>52</v>
      </c>
      <c r="B66" s="3" t="s">
        <v>25</v>
      </c>
      <c r="C66" s="89">
        <v>71.8</v>
      </c>
      <c r="D66" s="89">
        <f>E65</f>
        <v>2465.4415011037527</v>
      </c>
      <c r="E66" s="89">
        <f>D66*C66/100</f>
        <v>1770.1869977924944</v>
      </c>
    </row>
    <row r="67" spans="1:9" x14ac:dyDescent="0.25">
      <c r="A67" s="90" t="s">
        <v>53</v>
      </c>
      <c r="B67" s="13"/>
      <c r="C67" s="13"/>
      <c r="D67" s="91"/>
      <c r="E67" s="92">
        <f>E65+E66</f>
        <v>4235.628498896247</v>
      </c>
    </row>
    <row r="68" spans="1:9" x14ac:dyDescent="0.25">
      <c r="A68" s="87" t="s">
        <v>54</v>
      </c>
      <c r="B68" s="3" t="s">
        <v>55</v>
      </c>
      <c r="C68" s="3">
        <f>C99*3</f>
        <v>21</v>
      </c>
      <c r="D68" s="89">
        <f>E67</f>
        <v>4235.628498896247</v>
      </c>
      <c r="E68" s="89">
        <f>C68*D68</f>
        <v>88948.198476821184</v>
      </c>
      <c r="G68" s="21"/>
    </row>
    <row r="69" spans="1:9" ht="13.5" customHeight="1" x14ac:dyDescent="0.25">
      <c r="D69" s="93" t="s">
        <v>56</v>
      </c>
      <c r="E69" s="94">
        <f>$B$54</f>
        <v>1</v>
      </c>
      <c r="F69" s="95">
        <f>E68*E69</f>
        <v>88948.198476821184</v>
      </c>
      <c r="G69" s="21"/>
    </row>
    <row r="70" spans="1:9" ht="11.25" customHeight="1" x14ac:dyDescent="0.25"/>
    <row r="71" spans="1:9" ht="13.5" customHeight="1" x14ac:dyDescent="0.25">
      <c r="A71" s="14" t="s">
        <v>178</v>
      </c>
    </row>
    <row r="72" spans="1:9" ht="13.5" customHeight="1" x14ac:dyDescent="0.25">
      <c r="A72" s="80" t="s">
        <v>35</v>
      </c>
      <c r="B72" s="81" t="s">
        <v>36</v>
      </c>
      <c r="C72" s="81" t="s">
        <v>29</v>
      </c>
      <c r="D72" s="82" t="s">
        <v>37</v>
      </c>
      <c r="E72" s="82" t="s">
        <v>38</v>
      </c>
      <c r="F72" s="83" t="s">
        <v>39</v>
      </c>
    </row>
    <row r="73" spans="1:9" x14ac:dyDescent="0.25">
      <c r="A73" s="87" t="s">
        <v>179</v>
      </c>
      <c r="B73" s="3" t="s">
        <v>180</v>
      </c>
      <c r="C73" s="3">
        <v>365</v>
      </c>
      <c r="F73" s="91"/>
      <c r="G73" s="14"/>
    </row>
    <row r="74" spans="1:9" x14ac:dyDescent="0.25">
      <c r="A74" s="87" t="s">
        <v>181</v>
      </c>
      <c r="B74" s="3" t="s">
        <v>182</v>
      </c>
      <c r="C74" s="3">
        <v>12</v>
      </c>
      <c r="F74" s="91"/>
      <c r="G74" s="14"/>
      <c r="I74" s="149"/>
    </row>
    <row r="75" spans="1:9" x14ac:dyDescent="0.25">
      <c r="A75" s="87" t="s">
        <v>183</v>
      </c>
      <c r="B75" s="3" t="s">
        <v>180</v>
      </c>
      <c r="C75" s="3">
        <v>7</v>
      </c>
      <c r="F75" s="91"/>
      <c r="G75" s="14"/>
      <c r="I75" s="149"/>
    </row>
    <row r="76" spans="1:9" x14ac:dyDescent="0.25">
      <c r="A76" s="87" t="s">
        <v>184</v>
      </c>
      <c r="B76" s="3" t="s">
        <v>185</v>
      </c>
      <c r="C76" s="88">
        <f>C73/C74/C75</f>
        <v>4.3452380952380958</v>
      </c>
      <c r="F76" s="91"/>
      <c r="G76" s="14"/>
    </row>
    <row r="77" spans="1:9" x14ac:dyDescent="0.25">
      <c r="A77" s="87" t="s">
        <v>186</v>
      </c>
      <c r="B77" s="3" t="s">
        <v>187</v>
      </c>
      <c r="C77" s="88">
        <f>C76</f>
        <v>4.3452380952380958</v>
      </c>
      <c r="F77" s="91"/>
      <c r="G77" s="14"/>
    </row>
    <row r="78" spans="1:9" x14ac:dyDescent="0.25">
      <c r="A78" s="87" t="s">
        <v>188</v>
      </c>
      <c r="B78" s="3" t="s">
        <v>43</v>
      </c>
      <c r="C78" s="88">
        <f>7+1/3</f>
        <v>7.333333333333333</v>
      </c>
      <c r="F78" s="91"/>
      <c r="G78" s="14"/>
    </row>
    <row r="79" spans="1:9" x14ac:dyDescent="0.25">
      <c r="A79" s="87" t="s">
        <v>42</v>
      </c>
      <c r="B79" s="3" t="s">
        <v>43</v>
      </c>
      <c r="C79" s="88">
        <f>C77*C78</f>
        <v>31.865079365079367</v>
      </c>
      <c r="D79" s="89">
        <f>D61</f>
        <v>15.727272727272727</v>
      </c>
      <c r="E79" s="89">
        <f>C79*D79</f>
        <v>501.15079365079367</v>
      </c>
      <c r="F79" s="91"/>
      <c r="G79" s="14"/>
    </row>
    <row r="80" spans="1:9" x14ac:dyDescent="0.25">
      <c r="A80" s="87" t="s">
        <v>189</v>
      </c>
      <c r="B80" s="3" t="s">
        <v>43</v>
      </c>
      <c r="C80" s="88"/>
      <c r="D80" s="150">
        <f>E79*63/302</f>
        <v>104.54470198675497</v>
      </c>
      <c r="E80" s="89">
        <f>D80</f>
        <v>104.54470198675497</v>
      </c>
      <c r="F80" s="91"/>
      <c r="G80" s="14"/>
    </row>
    <row r="81" spans="1:7" x14ac:dyDescent="0.25">
      <c r="A81" s="87" t="s">
        <v>51</v>
      </c>
      <c r="B81" s="3"/>
      <c r="C81" s="3"/>
      <c r="D81" s="89"/>
      <c r="E81" s="89">
        <f>SUM(E79:E80)</f>
        <v>605.69549563754867</v>
      </c>
      <c r="G81" s="14"/>
    </row>
    <row r="82" spans="1:7" x14ac:dyDescent="0.25">
      <c r="A82" s="87" t="s">
        <v>52</v>
      </c>
      <c r="B82" s="3" t="s">
        <v>25</v>
      </c>
      <c r="C82" s="89">
        <v>71.8</v>
      </c>
      <c r="D82" s="89">
        <f>E81</f>
        <v>605.69549563754867</v>
      </c>
      <c r="E82" s="89">
        <f>D82*C82%</f>
        <v>434.88936586775992</v>
      </c>
      <c r="G82" s="14"/>
    </row>
    <row r="83" spans="1:7" x14ac:dyDescent="0.25">
      <c r="A83" s="151" t="s">
        <v>53</v>
      </c>
      <c r="B83" s="128"/>
      <c r="C83" s="128"/>
      <c r="D83" s="122"/>
      <c r="E83" s="152">
        <f>E81+E82</f>
        <v>1040.5848615053087</v>
      </c>
      <c r="G83" s="14"/>
    </row>
    <row r="84" spans="1:7" x14ac:dyDescent="0.25">
      <c r="A84" s="87" t="s">
        <v>54</v>
      </c>
      <c r="B84" s="3" t="s">
        <v>55</v>
      </c>
      <c r="C84" s="3">
        <v>3</v>
      </c>
      <c r="D84" s="89">
        <f>E83</f>
        <v>1040.5848615053087</v>
      </c>
      <c r="E84" s="89">
        <f>C84*D84</f>
        <v>3121.7545845159261</v>
      </c>
      <c r="G84" s="14"/>
    </row>
    <row r="85" spans="1:7" ht="13.5" customHeight="1" x14ac:dyDescent="0.25">
      <c r="F85" s="118">
        <f>E84</f>
        <v>3121.7545845159261</v>
      </c>
      <c r="G85" s="14"/>
    </row>
    <row r="86" spans="1:7" ht="11.25" customHeight="1" x14ac:dyDescent="0.25"/>
    <row r="87" spans="1:7" x14ac:dyDescent="0.25">
      <c r="A87" s="14" t="s">
        <v>57</v>
      </c>
    </row>
    <row r="88" spans="1:7" s="96" customFormat="1" ht="12.75" customHeight="1" x14ac:dyDescent="0.25">
      <c r="A88" s="80" t="s">
        <v>35</v>
      </c>
      <c r="B88" s="81" t="s">
        <v>36</v>
      </c>
      <c r="C88" s="81" t="s">
        <v>29</v>
      </c>
      <c r="D88" s="82" t="s">
        <v>37</v>
      </c>
      <c r="E88" s="82" t="s">
        <v>38</v>
      </c>
      <c r="F88" s="83" t="s">
        <v>39</v>
      </c>
      <c r="G88" s="15"/>
    </row>
    <row r="89" spans="1:7" x14ac:dyDescent="0.25">
      <c r="A89" s="84" t="s">
        <v>58</v>
      </c>
      <c r="B89" s="85" t="s">
        <v>41</v>
      </c>
      <c r="C89" s="85">
        <v>1</v>
      </c>
      <c r="D89" s="86">
        <v>2385</v>
      </c>
      <c r="E89" s="86">
        <f>C89*D89</f>
        <v>2385</v>
      </c>
    </row>
    <row r="90" spans="1:7" x14ac:dyDescent="0.25">
      <c r="A90" s="84" t="s">
        <v>59</v>
      </c>
      <c r="B90" s="85" t="s">
        <v>41</v>
      </c>
      <c r="C90" s="85">
        <v>1</v>
      </c>
      <c r="D90" s="86">
        <v>1518</v>
      </c>
      <c r="E90" s="86"/>
    </row>
    <row r="91" spans="1:7" x14ac:dyDescent="0.25">
      <c r="A91" s="87" t="s">
        <v>42</v>
      </c>
      <c r="B91" s="3" t="s">
        <v>43</v>
      </c>
      <c r="C91" s="88">
        <f>[1]Feriados!C$32</f>
        <v>6.7466666666666697</v>
      </c>
      <c r="D91" s="89">
        <f>D89/220*2</f>
        <v>21.681818181818183</v>
      </c>
      <c r="E91" s="89">
        <f>C91*D91</f>
        <v>146.28000000000009</v>
      </c>
      <c r="G91" s="15" t="s">
        <v>44</v>
      </c>
    </row>
    <row r="92" spans="1:7" x14ac:dyDescent="0.25">
      <c r="A92" s="87" t="s">
        <v>45</v>
      </c>
      <c r="B92" s="3" t="s">
        <v>43</v>
      </c>
      <c r="C92" s="88"/>
      <c r="D92" s="89">
        <f>D89/220*1.5</f>
        <v>16.261363636363637</v>
      </c>
      <c r="E92" s="89">
        <f>C92*D92</f>
        <v>0</v>
      </c>
      <c r="G92" s="15" t="s">
        <v>46</v>
      </c>
    </row>
    <row r="93" spans="1:7" ht="12.75" customHeight="1" x14ac:dyDescent="0.25">
      <c r="A93" s="87" t="s">
        <v>47</v>
      </c>
      <c r="B93" s="3" t="s">
        <v>48</v>
      </c>
      <c r="D93" s="89">
        <f>63/302*(SUM(E91:E92))</f>
        <v>30.515364238410616</v>
      </c>
      <c r="E93" s="89">
        <f>D93</f>
        <v>30.515364238410616</v>
      </c>
      <c r="G93" s="15" t="s">
        <v>49</v>
      </c>
    </row>
    <row r="94" spans="1:7" x14ac:dyDescent="0.25">
      <c r="A94" s="87" t="s">
        <v>60</v>
      </c>
      <c r="B94" s="3"/>
      <c r="C94" s="97">
        <v>1</v>
      </c>
      <c r="D94" s="89"/>
      <c r="E94" s="89"/>
    </row>
    <row r="95" spans="1:7" x14ac:dyDescent="0.25">
      <c r="A95" s="87" t="s">
        <v>50</v>
      </c>
      <c r="B95" s="3" t="s">
        <v>25</v>
      </c>
      <c r="C95" s="3">
        <v>40</v>
      </c>
      <c r="D95" s="89">
        <v>1518</v>
      </c>
      <c r="E95" s="89">
        <f>C95*D95/100</f>
        <v>607.20000000000005</v>
      </c>
    </row>
    <row r="96" spans="1:7" s="38" customFormat="1" x14ac:dyDescent="0.25">
      <c r="A96" s="98" t="s">
        <v>51</v>
      </c>
      <c r="B96" s="13"/>
      <c r="C96" s="13"/>
      <c r="D96" s="91"/>
      <c r="E96" s="99">
        <f>SUM(E89:E95)</f>
        <v>3168.9953642384107</v>
      </c>
      <c r="F96" s="37"/>
      <c r="G96" s="37"/>
    </row>
    <row r="97" spans="1:9" x14ac:dyDescent="0.25">
      <c r="A97" s="87" t="s">
        <v>52</v>
      </c>
      <c r="B97" s="3" t="s">
        <v>25</v>
      </c>
      <c r="C97" s="89">
        <v>71.8</v>
      </c>
      <c r="D97" s="89">
        <f>E96</f>
        <v>3168.9953642384107</v>
      </c>
      <c r="E97" s="89">
        <f>D97*C97/100</f>
        <v>2275.3386715231791</v>
      </c>
    </row>
    <row r="98" spans="1:9" s="38" customFormat="1" x14ac:dyDescent="0.25">
      <c r="A98" s="98" t="s">
        <v>61</v>
      </c>
      <c r="B98" s="100"/>
      <c r="C98" s="100"/>
      <c r="D98" s="101"/>
      <c r="E98" s="99">
        <f>E96+E97</f>
        <v>5444.3340357615898</v>
      </c>
      <c r="F98" s="37"/>
      <c r="G98" s="37"/>
    </row>
    <row r="99" spans="1:9" x14ac:dyDescent="0.25">
      <c r="A99" s="87" t="s">
        <v>54</v>
      </c>
      <c r="B99" s="3" t="s">
        <v>55</v>
      </c>
      <c r="C99" s="3">
        <v>7</v>
      </c>
      <c r="D99" s="89">
        <f>E98</f>
        <v>5444.3340357615898</v>
      </c>
      <c r="E99" s="89">
        <f>C99*D99</f>
        <v>38110.33825033113</v>
      </c>
    </row>
    <row r="100" spans="1:9" x14ac:dyDescent="0.25">
      <c r="D100" s="93" t="s">
        <v>56</v>
      </c>
      <c r="E100" s="94">
        <f>$B$54</f>
        <v>1</v>
      </c>
      <c r="F100" s="95">
        <f>E99*E100</f>
        <v>38110.33825033113</v>
      </c>
    </row>
    <row r="101" spans="1:9" ht="11.25" customHeight="1" x14ac:dyDescent="0.25"/>
    <row r="102" spans="1:9" ht="13.5" customHeight="1" x14ac:dyDescent="0.25">
      <c r="A102" s="14" t="s">
        <v>190</v>
      </c>
    </row>
    <row r="103" spans="1:9" ht="13.5" customHeight="1" x14ac:dyDescent="0.25">
      <c r="A103" s="80" t="s">
        <v>35</v>
      </c>
      <c r="B103" s="81" t="s">
        <v>36</v>
      </c>
      <c r="C103" s="81" t="s">
        <v>29</v>
      </c>
      <c r="D103" s="82" t="s">
        <v>37</v>
      </c>
      <c r="E103" s="82" t="s">
        <v>38</v>
      </c>
      <c r="F103" s="83" t="s">
        <v>39</v>
      </c>
    </row>
    <row r="104" spans="1:9" x14ac:dyDescent="0.25">
      <c r="A104" s="87" t="s">
        <v>179</v>
      </c>
      <c r="B104" s="3" t="s">
        <v>180</v>
      </c>
      <c r="C104" s="3">
        <v>365</v>
      </c>
      <c r="F104" s="91"/>
      <c r="G104" s="14"/>
    </row>
    <row r="105" spans="1:9" x14ac:dyDescent="0.25">
      <c r="A105" s="87" t="s">
        <v>181</v>
      </c>
      <c r="B105" s="3" t="s">
        <v>182</v>
      </c>
      <c r="C105" s="3">
        <v>12</v>
      </c>
      <c r="F105" s="91"/>
      <c r="G105" s="14"/>
      <c r="I105" s="149"/>
    </row>
    <row r="106" spans="1:9" x14ac:dyDescent="0.25">
      <c r="A106" s="87" t="s">
        <v>183</v>
      </c>
      <c r="B106" s="3" t="s">
        <v>180</v>
      </c>
      <c r="C106" s="3">
        <v>7</v>
      </c>
      <c r="F106" s="91"/>
      <c r="G106" s="14"/>
      <c r="I106" s="149"/>
    </row>
    <row r="107" spans="1:9" x14ac:dyDescent="0.25">
      <c r="A107" s="87" t="s">
        <v>184</v>
      </c>
      <c r="B107" s="3" t="s">
        <v>185</v>
      </c>
      <c r="C107" s="88">
        <f>C104/C105/C106</f>
        <v>4.3452380952380958</v>
      </c>
      <c r="F107" s="91"/>
      <c r="G107" s="14"/>
    </row>
    <row r="108" spans="1:9" x14ac:dyDescent="0.25">
      <c r="A108" s="87" t="s">
        <v>186</v>
      </c>
      <c r="B108" s="3" t="s">
        <v>187</v>
      </c>
      <c r="C108" s="88">
        <f>C107</f>
        <v>4.3452380952380958</v>
      </c>
      <c r="F108" s="91"/>
      <c r="G108" s="14"/>
    </row>
    <row r="109" spans="1:9" x14ac:dyDescent="0.25">
      <c r="A109" s="87" t="s">
        <v>188</v>
      </c>
      <c r="B109" s="3" t="s">
        <v>43</v>
      </c>
      <c r="C109" s="88">
        <f>7+1/3</f>
        <v>7.333333333333333</v>
      </c>
      <c r="F109" s="91"/>
      <c r="G109" s="14"/>
    </row>
    <row r="110" spans="1:9" x14ac:dyDescent="0.25">
      <c r="A110" s="87" t="s">
        <v>42</v>
      </c>
      <c r="B110" s="3" t="s">
        <v>43</v>
      </c>
      <c r="C110" s="88">
        <f>C108*C109</f>
        <v>31.865079365079367</v>
      </c>
      <c r="D110" s="89">
        <f>D91</f>
        <v>21.681818181818183</v>
      </c>
      <c r="E110" s="89">
        <f>C110*D110</f>
        <v>690.89285714285722</v>
      </c>
      <c r="F110" s="91"/>
      <c r="G110" s="14"/>
    </row>
    <row r="111" spans="1:9" x14ac:dyDescent="0.25">
      <c r="A111" s="87" t="s">
        <v>191</v>
      </c>
      <c r="B111" s="3" t="s">
        <v>43</v>
      </c>
      <c r="C111" s="88">
        <f>C110*63/302</f>
        <v>6.6473509933774846</v>
      </c>
      <c r="D111" s="89">
        <f>63/302*(SUM(E110))</f>
        <v>144.12665562913909</v>
      </c>
      <c r="E111" s="89">
        <f>D111</f>
        <v>144.12665562913909</v>
      </c>
      <c r="F111" s="91"/>
      <c r="G111" s="14"/>
    </row>
    <row r="112" spans="1:9" x14ac:dyDescent="0.25">
      <c r="A112" s="87" t="s">
        <v>51</v>
      </c>
      <c r="B112" s="3"/>
      <c r="C112" s="3"/>
      <c r="D112" s="89"/>
      <c r="E112" s="89">
        <f>SUM(E110:E111)</f>
        <v>835.01951277199635</v>
      </c>
      <c r="G112" s="14"/>
    </row>
    <row r="113" spans="1:7" x14ac:dyDescent="0.25">
      <c r="A113" s="87" t="s">
        <v>52</v>
      </c>
      <c r="B113" s="3" t="s">
        <v>25</v>
      </c>
      <c r="C113" s="89">
        <v>71.8</v>
      </c>
      <c r="D113" s="89">
        <f>E112</f>
        <v>835.01951277199635</v>
      </c>
      <c r="E113" s="89">
        <f>D113*C113%</f>
        <v>599.5440101702934</v>
      </c>
      <c r="G113" s="14"/>
    </row>
    <row r="114" spans="1:7" x14ac:dyDescent="0.25">
      <c r="A114" s="151" t="s">
        <v>53</v>
      </c>
      <c r="B114" s="128"/>
      <c r="C114" s="128"/>
      <c r="D114" s="122"/>
      <c r="E114" s="152">
        <f>E112+E113</f>
        <v>1434.5635229422896</v>
      </c>
      <c r="G114" s="14"/>
    </row>
    <row r="115" spans="1:7" x14ac:dyDescent="0.25">
      <c r="A115" s="87" t="s">
        <v>54</v>
      </c>
      <c r="B115" s="3" t="s">
        <v>55</v>
      </c>
      <c r="C115" s="3">
        <v>1</v>
      </c>
      <c r="D115" s="89">
        <f>E114</f>
        <v>1434.5635229422896</v>
      </c>
      <c r="E115" s="89">
        <f>C115*D115</f>
        <v>1434.5635229422896</v>
      </c>
      <c r="G115" s="14"/>
    </row>
    <row r="116" spans="1:7" ht="13.5" customHeight="1" x14ac:dyDescent="0.25">
      <c r="F116" s="118">
        <f>E115</f>
        <v>1434.5635229422896</v>
      </c>
      <c r="G116" s="14"/>
    </row>
    <row r="117" spans="1:7" ht="11.25" customHeight="1" x14ac:dyDescent="0.25"/>
    <row r="118" spans="1:7" x14ac:dyDescent="0.25">
      <c r="A118" s="14" t="s">
        <v>62</v>
      </c>
    </row>
    <row r="119" spans="1:7" s="96" customFormat="1" ht="12.75" customHeight="1" x14ac:dyDescent="0.25">
      <c r="A119" s="80" t="s">
        <v>35</v>
      </c>
      <c r="B119" s="81" t="s">
        <v>36</v>
      </c>
      <c r="C119" s="81" t="s">
        <v>29</v>
      </c>
      <c r="D119" s="82" t="s">
        <v>37</v>
      </c>
      <c r="E119" s="82" t="s">
        <v>38</v>
      </c>
      <c r="F119" s="83" t="s">
        <v>39</v>
      </c>
      <c r="G119" s="15"/>
    </row>
    <row r="120" spans="1:7" x14ac:dyDescent="0.25">
      <c r="A120" s="84" t="s">
        <v>58</v>
      </c>
      <c r="B120" s="85" t="s">
        <v>41</v>
      </c>
      <c r="C120" s="85">
        <v>1</v>
      </c>
      <c r="D120" s="86">
        <v>2826.83</v>
      </c>
      <c r="E120" s="86">
        <f>C120*D120</f>
        <v>2826.83</v>
      </c>
    </row>
    <row r="121" spans="1:7" x14ac:dyDescent="0.25">
      <c r="A121" s="84" t="s">
        <v>59</v>
      </c>
      <c r="B121" s="85" t="s">
        <v>41</v>
      </c>
      <c r="C121" s="85">
        <v>1</v>
      </c>
      <c r="D121" s="86">
        <v>1518</v>
      </c>
      <c r="E121" s="86"/>
    </row>
    <row r="122" spans="1:7" x14ac:dyDescent="0.25">
      <c r="A122" s="87" t="s">
        <v>42</v>
      </c>
      <c r="B122" s="3" t="s">
        <v>43</v>
      </c>
      <c r="C122" s="88"/>
      <c r="D122" s="89">
        <f>D120/220*2</f>
        <v>25.698454545454545</v>
      </c>
      <c r="E122" s="89">
        <f>C122*D122</f>
        <v>0</v>
      </c>
      <c r="G122" s="15" t="s">
        <v>44</v>
      </c>
    </row>
    <row r="123" spans="1:7" x14ac:dyDescent="0.25">
      <c r="A123" s="87" t="s">
        <v>45</v>
      </c>
      <c r="B123" s="3" t="s">
        <v>43</v>
      </c>
      <c r="C123" s="88"/>
      <c r="D123" s="89">
        <f>D120/220*1.5</f>
        <v>19.273840909090907</v>
      </c>
      <c r="E123" s="89">
        <f>C123*D123</f>
        <v>0</v>
      </c>
      <c r="G123" s="15" t="s">
        <v>46</v>
      </c>
    </row>
    <row r="124" spans="1:7" ht="12.75" customHeight="1" x14ac:dyDescent="0.25">
      <c r="A124" s="87" t="s">
        <v>47</v>
      </c>
      <c r="B124" s="3" t="s">
        <v>48</v>
      </c>
      <c r="D124" s="89">
        <f>63/302*(SUM(E122:E123))</f>
        <v>0</v>
      </c>
      <c r="E124" s="89">
        <f>D124</f>
        <v>0</v>
      </c>
      <c r="G124" s="15" t="s">
        <v>49</v>
      </c>
    </row>
    <row r="125" spans="1:7" x14ac:dyDescent="0.25">
      <c r="A125" s="87" t="s">
        <v>60</v>
      </c>
      <c r="B125" s="3"/>
      <c r="C125" s="97">
        <v>1</v>
      </c>
      <c r="D125" s="89"/>
      <c r="E125" s="89"/>
    </row>
    <row r="126" spans="1:7" x14ac:dyDescent="0.25">
      <c r="A126" s="87" t="s">
        <v>50</v>
      </c>
      <c r="B126" s="3" t="s">
        <v>25</v>
      </c>
      <c r="C126" s="3">
        <v>40</v>
      </c>
      <c r="D126" s="89">
        <v>1518</v>
      </c>
      <c r="E126" s="89">
        <f>C126*D126/100</f>
        <v>607.20000000000005</v>
      </c>
    </row>
    <row r="127" spans="1:7" s="38" customFormat="1" x14ac:dyDescent="0.25">
      <c r="A127" s="98" t="s">
        <v>51</v>
      </c>
      <c r="B127" s="13"/>
      <c r="C127" s="13"/>
      <c r="D127" s="91"/>
      <c r="E127" s="99">
        <f>SUM(E120:E126)</f>
        <v>3434.0299999999997</v>
      </c>
      <c r="F127" s="37"/>
      <c r="G127" s="37"/>
    </row>
    <row r="128" spans="1:7" x14ac:dyDescent="0.25">
      <c r="A128" s="87" t="s">
        <v>52</v>
      </c>
      <c r="B128" s="3" t="s">
        <v>25</v>
      </c>
      <c r="C128" s="89">
        <v>71.8</v>
      </c>
      <c r="D128" s="89">
        <f>E127</f>
        <v>3434.0299999999997</v>
      </c>
      <c r="E128" s="89">
        <f>D128*C128/100</f>
        <v>2465.6335399999998</v>
      </c>
    </row>
    <row r="129" spans="1:9" s="38" customFormat="1" x14ac:dyDescent="0.25">
      <c r="A129" s="98" t="s">
        <v>61</v>
      </c>
      <c r="B129" s="100"/>
      <c r="C129" s="100"/>
      <c r="D129" s="101"/>
      <c r="E129" s="99">
        <f>E127+E128</f>
        <v>5899.6635399999996</v>
      </c>
      <c r="F129" s="37"/>
      <c r="G129" s="37"/>
    </row>
    <row r="130" spans="1:9" x14ac:dyDescent="0.25">
      <c r="A130" s="87" t="s">
        <v>54</v>
      </c>
      <c r="B130" s="3" t="s">
        <v>55</v>
      </c>
      <c r="C130" s="3">
        <v>1</v>
      </c>
      <c r="D130" s="89">
        <f>E129</f>
        <v>5899.6635399999996</v>
      </c>
      <c r="E130" s="89">
        <f>C130*D130</f>
        <v>5899.6635399999996</v>
      </c>
    </row>
    <row r="131" spans="1:9" x14ac:dyDescent="0.25">
      <c r="D131" s="93" t="s">
        <v>56</v>
      </c>
      <c r="E131" s="94">
        <f>$B$54</f>
        <v>1</v>
      </c>
      <c r="F131" s="95">
        <f>E130*E131</f>
        <v>5899.6635399999996</v>
      </c>
    </row>
    <row r="132" spans="1:9" ht="11.25" customHeight="1" x14ac:dyDescent="0.25"/>
    <row r="133" spans="1:9" ht="13.5" customHeight="1" x14ac:dyDescent="0.25">
      <c r="A133" s="14" t="s">
        <v>192</v>
      </c>
    </row>
    <row r="134" spans="1:9" ht="13.5" customHeight="1" x14ac:dyDescent="0.25">
      <c r="A134" s="80" t="s">
        <v>35</v>
      </c>
      <c r="B134" s="81" t="s">
        <v>36</v>
      </c>
      <c r="C134" s="81" t="s">
        <v>29</v>
      </c>
      <c r="D134" s="82" t="s">
        <v>37</v>
      </c>
      <c r="E134" s="82" t="s">
        <v>38</v>
      </c>
      <c r="F134" s="83" t="s">
        <v>39</v>
      </c>
    </row>
    <row r="135" spans="1:9" x14ac:dyDescent="0.25">
      <c r="A135" s="87" t="s">
        <v>179</v>
      </c>
      <c r="B135" s="3" t="s">
        <v>180</v>
      </c>
      <c r="C135" s="3">
        <v>365</v>
      </c>
      <c r="F135" s="91"/>
      <c r="G135" s="14"/>
    </row>
    <row r="136" spans="1:9" x14ac:dyDescent="0.25">
      <c r="A136" s="87" t="s">
        <v>181</v>
      </c>
      <c r="B136" s="3" t="s">
        <v>182</v>
      </c>
      <c r="C136" s="3">
        <v>12</v>
      </c>
      <c r="F136" s="91"/>
      <c r="G136" s="14"/>
      <c r="I136" s="149"/>
    </row>
    <row r="137" spans="1:9" x14ac:dyDescent="0.25">
      <c r="A137" s="87" t="s">
        <v>183</v>
      </c>
      <c r="B137" s="3" t="s">
        <v>180</v>
      </c>
      <c r="C137" s="3">
        <v>7</v>
      </c>
      <c r="F137" s="91"/>
      <c r="G137" s="14"/>
      <c r="I137" s="149"/>
    </row>
    <row r="138" spans="1:9" x14ac:dyDescent="0.25">
      <c r="A138" s="87" t="s">
        <v>184</v>
      </c>
      <c r="B138" s="3" t="s">
        <v>185</v>
      </c>
      <c r="C138" s="88">
        <f>C135/C136/C137</f>
        <v>4.3452380952380958</v>
      </c>
      <c r="F138" s="91"/>
      <c r="G138" s="14"/>
    </row>
    <row r="139" spans="1:9" x14ac:dyDescent="0.25">
      <c r="A139" s="87" t="s">
        <v>186</v>
      </c>
      <c r="B139" s="3" t="s">
        <v>187</v>
      </c>
      <c r="C139" s="88">
        <f>C138</f>
        <v>4.3452380952380958</v>
      </c>
      <c r="F139" s="91"/>
      <c r="G139" s="14"/>
    </row>
    <row r="140" spans="1:9" x14ac:dyDescent="0.25">
      <c r="A140" s="87" t="s">
        <v>188</v>
      </c>
      <c r="B140" s="3" t="s">
        <v>43</v>
      </c>
      <c r="C140" s="88">
        <f>7+1/3</f>
        <v>7.333333333333333</v>
      </c>
      <c r="F140" s="91"/>
      <c r="G140" s="14"/>
    </row>
    <row r="141" spans="1:9" x14ac:dyDescent="0.25">
      <c r="A141" s="87" t="s">
        <v>42</v>
      </c>
      <c r="B141" s="3" t="s">
        <v>43</v>
      </c>
      <c r="C141" s="88">
        <f>C139*C140</f>
        <v>31.865079365079367</v>
      </c>
      <c r="D141" s="89">
        <f>D122</f>
        <v>25.698454545454545</v>
      </c>
      <c r="E141" s="89">
        <f>C141*D141</f>
        <v>818.88329365079369</v>
      </c>
      <c r="F141" s="91"/>
      <c r="G141" s="14"/>
    </row>
    <row r="142" spans="1:9" x14ac:dyDescent="0.25">
      <c r="A142" s="87" t="s">
        <v>191</v>
      </c>
      <c r="B142" s="3" t="s">
        <v>43</v>
      </c>
      <c r="C142" s="88">
        <f>C141*63/302</f>
        <v>6.6473509933774846</v>
      </c>
      <c r="D142" s="89">
        <f>63/302*(SUM(E141))</f>
        <v>170.8266473509934</v>
      </c>
      <c r="E142" s="89">
        <f>D142</f>
        <v>170.8266473509934</v>
      </c>
      <c r="F142" s="91"/>
      <c r="G142" s="14"/>
    </row>
    <row r="143" spans="1:9" x14ac:dyDescent="0.25">
      <c r="A143" s="87" t="s">
        <v>51</v>
      </c>
      <c r="B143" s="3"/>
      <c r="C143" s="3"/>
      <c r="D143" s="89"/>
      <c r="E143" s="89">
        <f>SUM(E141:E142)</f>
        <v>989.70994100178712</v>
      </c>
      <c r="G143" s="14"/>
    </row>
    <row r="144" spans="1:9" x14ac:dyDescent="0.25">
      <c r="A144" s="87" t="s">
        <v>52</v>
      </c>
      <c r="B144" s="3" t="s">
        <v>25</v>
      </c>
      <c r="C144" s="89">
        <v>71.8</v>
      </c>
      <c r="D144" s="89">
        <f>E143</f>
        <v>989.70994100178712</v>
      </c>
      <c r="E144" s="89">
        <f>D144*C144%</f>
        <v>710.61173763928309</v>
      </c>
      <c r="G144" s="14"/>
    </row>
    <row r="145" spans="1:7" x14ac:dyDescent="0.25">
      <c r="A145" s="151" t="s">
        <v>53</v>
      </c>
      <c r="B145" s="128"/>
      <c r="C145" s="128"/>
      <c r="D145" s="122"/>
      <c r="E145" s="152">
        <f>E143+E144</f>
        <v>1700.3216786410703</v>
      </c>
      <c r="G145" s="14"/>
    </row>
    <row r="146" spans="1:7" x14ac:dyDescent="0.25">
      <c r="A146" s="87" t="s">
        <v>54</v>
      </c>
      <c r="B146" s="3" t="s">
        <v>55</v>
      </c>
      <c r="C146" s="3">
        <v>1</v>
      </c>
      <c r="D146" s="89">
        <f>E145</f>
        <v>1700.3216786410703</v>
      </c>
      <c r="E146" s="89">
        <f>C146*D146</f>
        <v>1700.3216786410703</v>
      </c>
      <c r="G146" s="14"/>
    </row>
    <row r="147" spans="1:7" ht="13.5" customHeight="1" x14ac:dyDescent="0.25">
      <c r="F147" s="118">
        <f>E146</f>
        <v>1700.3216786410703</v>
      </c>
      <c r="G147" s="14"/>
    </row>
    <row r="148" spans="1:7" ht="11.25" customHeight="1" x14ac:dyDescent="0.25"/>
    <row r="149" spans="1:7" x14ac:dyDescent="0.25">
      <c r="A149" s="14" t="s">
        <v>64</v>
      </c>
      <c r="B149" s="102"/>
      <c r="D149" s="14"/>
      <c r="E149" s="14"/>
      <c r="G149" s="14"/>
    </row>
    <row r="150" spans="1:7" x14ac:dyDescent="0.25">
      <c r="A150" s="80" t="s">
        <v>35</v>
      </c>
      <c r="B150" s="81" t="s">
        <v>36</v>
      </c>
      <c r="C150" s="81" t="s">
        <v>29</v>
      </c>
      <c r="D150" s="82" t="s">
        <v>37</v>
      </c>
      <c r="E150" s="82" t="s">
        <v>38</v>
      </c>
      <c r="F150" s="83" t="s">
        <v>39</v>
      </c>
      <c r="G150" s="14"/>
    </row>
    <row r="151" spans="1:7" x14ac:dyDescent="0.25">
      <c r="A151" s="87" t="s">
        <v>65</v>
      </c>
      <c r="B151" s="3" t="s">
        <v>48</v>
      </c>
      <c r="C151" s="103">
        <v>1</v>
      </c>
      <c r="D151" s="15">
        <v>6</v>
      </c>
      <c r="E151" s="89"/>
      <c r="G151" s="14"/>
    </row>
    <row r="152" spans="1:7" x14ac:dyDescent="0.25">
      <c r="A152" s="87" t="s">
        <v>66</v>
      </c>
      <c r="B152" s="3" t="s">
        <v>67</v>
      </c>
      <c r="C152" s="14">
        <v>26</v>
      </c>
      <c r="D152" s="89"/>
      <c r="E152" s="89"/>
      <c r="G152" s="14"/>
    </row>
    <row r="153" spans="1:7" x14ac:dyDescent="0.25">
      <c r="A153" s="87" t="s">
        <v>68</v>
      </c>
      <c r="B153" s="3" t="s">
        <v>69</v>
      </c>
      <c r="C153" s="104">
        <f>$C$152*2*(C68)</f>
        <v>1092</v>
      </c>
      <c r="D153" s="86">
        <f>IFERROR((($C$152*2*$D$151)-(E60*0.06*C152/26))/($C$152*2),"-")</f>
        <v>4.0038461538461538</v>
      </c>
      <c r="E153" s="89">
        <f>IFERROR(C153*D153,"-")</f>
        <v>4372.2</v>
      </c>
      <c r="G153" s="14"/>
    </row>
    <row r="154" spans="1:7" x14ac:dyDescent="0.25">
      <c r="A154" s="84" t="s">
        <v>70</v>
      </c>
      <c r="B154" s="85" t="s">
        <v>69</v>
      </c>
      <c r="C154" s="104">
        <f>$C$152*2*(C99)</f>
        <v>364</v>
      </c>
      <c r="D154" s="86">
        <f>IFERROR((($C$152*2*$D$151)-(E89*0.06*C152/26))/($C$152*2),"-")</f>
        <v>3.2480769230769231</v>
      </c>
      <c r="E154" s="86">
        <f>IFERROR(C154*D154,"-")</f>
        <v>1182.3</v>
      </c>
      <c r="G154" s="14"/>
    </row>
    <row r="155" spans="1:7" x14ac:dyDescent="0.25">
      <c r="A155" s="84" t="s">
        <v>71</v>
      </c>
      <c r="B155" s="85" t="s">
        <v>69</v>
      </c>
      <c r="C155" s="104">
        <f>$C$152*2*(C130)</f>
        <v>52</v>
      </c>
      <c r="D155" s="86">
        <f>IFERROR((($C$152*2*$D$151)-(E120*0.06*C152/26))/($C$152*2),"-")</f>
        <v>2.7382730769230772</v>
      </c>
      <c r="E155" s="86">
        <f>IFERROR(C155*D155,"-")</f>
        <v>142.39020000000002</v>
      </c>
      <c r="G155" s="14"/>
    </row>
    <row r="156" spans="1:7" x14ac:dyDescent="0.25">
      <c r="F156" s="105">
        <f>SUM(E153:E155)</f>
        <v>5696.8901999999998</v>
      </c>
      <c r="G156" s="14"/>
    </row>
    <row r="157" spans="1:7" ht="11.25" customHeight="1" x14ac:dyDescent="0.25">
      <c r="G157" s="14"/>
    </row>
    <row r="158" spans="1:7" x14ac:dyDescent="0.25">
      <c r="A158" s="14" t="s">
        <v>193</v>
      </c>
      <c r="B158" s="102"/>
      <c r="D158" s="14"/>
      <c r="E158" s="14"/>
      <c r="G158" s="14"/>
    </row>
    <row r="159" spans="1:7" x14ac:dyDescent="0.25">
      <c r="A159" s="80" t="s">
        <v>35</v>
      </c>
      <c r="B159" s="81" t="s">
        <v>36</v>
      </c>
      <c r="C159" s="81" t="s">
        <v>29</v>
      </c>
      <c r="D159" s="82" t="s">
        <v>37</v>
      </c>
      <c r="E159" s="82" t="s">
        <v>38</v>
      </c>
      <c r="F159" s="83" t="s">
        <v>39</v>
      </c>
      <c r="G159" s="14"/>
    </row>
    <row r="160" spans="1:7" x14ac:dyDescent="0.25">
      <c r="A160" s="87" t="s">
        <v>65</v>
      </c>
      <c r="B160" s="3" t="s">
        <v>48</v>
      </c>
      <c r="C160" s="103">
        <v>1</v>
      </c>
      <c r="D160" s="15">
        <f>D151</f>
        <v>6</v>
      </c>
      <c r="E160" s="89"/>
      <c r="G160" s="14"/>
    </row>
    <row r="161" spans="1:7" x14ac:dyDescent="0.25">
      <c r="A161" s="87" t="s">
        <v>66</v>
      </c>
      <c r="B161" s="3" t="s">
        <v>67</v>
      </c>
      <c r="C161" s="149">
        <f>C139</f>
        <v>4.3452380952380958</v>
      </c>
      <c r="D161" s="89"/>
      <c r="E161" s="89"/>
      <c r="G161" s="14"/>
    </row>
    <row r="162" spans="1:7" x14ac:dyDescent="0.25">
      <c r="A162" s="87" t="s">
        <v>68</v>
      </c>
      <c r="B162" s="3" t="s">
        <v>69</v>
      </c>
      <c r="C162" s="94">
        <f>$C$161*2*(C84)</f>
        <v>26.071428571428577</v>
      </c>
      <c r="D162" s="86">
        <f>D153</f>
        <v>4.0038461538461538</v>
      </c>
      <c r="E162" s="89">
        <f>IFERROR(C162*D162,"-")</f>
        <v>104.38598901098904</v>
      </c>
      <c r="G162" s="14"/>
    </row>
    <row r="163" spans="1:7" x14ac:dyDescent="0.25">
      <c r="A163" s="84" t="s">
        <v>70</v>
      </c>
      <c r="B163" s="85" t="s">
        <v>69</v>
      </c>
      <c r="C163" s="94">
        <f>$C$161*2*(C115)</f>
        <v>8.6904761904761916</v>
      </c>
      <c r="D163" s="86">
        <f>D154</f>
        <v>3.2480769230769231</v>
      </c>
      <c r="E163" s="86">
        <f>IFERROR(C163*D163,"-")</f>
        <v>28.227335164835168</v>
      </c>
      <c r="G163" s="14"/>
    </row>
    <row r="164" spans="1:7" x14ac:dyDescent="0.25">
      <c r="A164" s="84" t="s">
        <v>71</v>
      </c>
      <c r="B164" s="85" t="s">
        <v>69</v>
      </c>
      <c r="C164" s="94">
        <f>$C$161*2*(C146)</f>
        <v>8.6904761904761916</v>
      </c>
      <c r="D164" s="86">
        <f>D155</f>
        <v>2.7382730769230772</v>
      </c>
      <c r="E164" s="86">
        <f>IFERROR(C164*D164,"-")</f>
        <v>23.796896978021984</v>
      </c>
      <c r="G164" s="14"/>
    </row>
    <row r="165" spans="1:7" x14ac:dyDescent="0.25">
      <c r="F165" s="105">
        <f>E162+E163+E164</f>
        <v>156.41022115384618</v>
      </c>
      <c r="G165" s="14"/>
    </row>
    <row r="166" spans="1:7" ht="11.25" customHeight="1" x14ac:dyDescent="0.25">
      <c r="G166" s="14"/>
    </row>
    <row r="167" spans="1:7" x14ac:dyDescent="0.25">
      <c r="A167" s="14" t="s">
        <v>72</v>
      </c>
      <c r="F167" s="37"/>
      <c r="G167" s="14"/>
    </row>
    <row r="168" spans="1:7" x14ac:dyDescent="0.25">
      <c r="A168" s="80" t="s">
        <v>35</v>
      </c>
      <c r="B168" s="81" t="s">
        <v>36</v>
      </c>
      <c r="C168" s="81" t="s">
        <v>29</v>
      </c>
      <c r="D168" s="82" t="s">
        <v>37</v>
      </c>
      <c r="E168" s="82" t="s">
        <v>38</v>
      </c>
      <c r="F168" s="83" t="s">
        <v>39</v>
      </c>
      <c r="G168" s="14"/>
    </row>
    <row r="169" spans="1:7" x14ac:dyDescent="0.25">
      <c r="A169" s="87" t="str">
        <f>+A153</f>
        <v>Coletor</v>
      </c>
      <c r="B169" s="3" t="s">
        <v>73</v>
      </c>
      <c r="C169" s="104">
        <f>C152*(E45)</f>
        <v>546</v>
      </c>
      <c r="D169" s="89">
        <v>22.43</v>
      </c>
      <c r="E169" s="94">
        <f>C169*D169</f>
        <v>12246.78</v>
      </c>
      <c r="F169" s="37"/>
      <c r="G169" s="14"/>
    </row>
    <row r="170" spans="1:7" x14ac:dyDescent="0.25">
      <c r="A170" s="87" t="str">
        <f>+A154</f>
        <v>Motorista</v>
      </c>
      <c r="B170" s="3" t="s">
        <v>73</v>
      </c>
      <c r="C170" s="104">
        <f>C152*(E46)</f>
        <v>182</v>
      </c>
      <c r="D170" s="89">
        <v>22.43</v>
      </c>
      <c r="E170" s="94">
        <f>C170*D170</f>
        <v>4082.2599999999998</v>
      </c>
      <c r="F170" s="37"/>
      <c r="G170" s="14"/>
    </row>
    <row r="171" spans="1:7" x14ac:dyDescent="0.25">
      <c r="A171" s="87" t="s">
        <v>71</v>
      </c>
      <c r="B171" s="3" t="s">
        <v>36</v>
      </c>
      <c r="C171" s="104">
        <f>C152*(E47)</f>
        <v>26</v>
      </c>
      <c r="D171" s="89">
        <v>22.43</v>
      </c>
      <c r="E171" s="94">
        <f>C171*D171</f>
        <v>583.17999999999995</v>
      </c>
      <c r="F171" s="37"/>
      <c r="G171" s="14"/>
    </row>
    <row r="172" spans="1:7" x14ac:dyDescent="0.25">
      <c r="F172" s="105">
        <f>SUM(E169:E171)</f>
        <v>16912.22</v>
      </c>
      <c r="G172" s="14"/>
    </row>
    <row r="173" spans="1:7" x14ac:dyDescent="0.25">
      <c r="G173" s="14"/>
    </row>
    <row r="174" spans="1:7" x14ac:dyDescent="0.25">
      <c r="A174" s="14" t="s">
        <v>194</v>
      </c>
      <c r="F174" s="37"/>
      <c r="G174" s="14"/>
    </row>
    <row r="175" spans="1:7" x14ac:dyDescent="0.25">
      <c r="A175" s="80" t="s">
        <v>35</v>
      </c>
      <c r="B175" s="81" t="s">
        <v>36</v>
      </c>
      <c r="C175" s="81" t="s">
        <v>29</v>
      </c>
      <c r="D175" s="154" t="s">
        <v>37</v>
      </c>
      <c r="E175" s="82" t="s">
        <v>38</v>
      </c>
      <c r="F175" s="83" t="s">
        <v>39</v>
      </c>
      <c r="G175" s="14"/>
    </row>
    <row r="176" spans="1:7" x14ac:dyDescent="0.25">
      <c r="A176" s="87" t="str">
        <f>+A160</f>
        <v>Vale Transporte</v>
      </c>
      <c r="B176" s="3" t="s">
        <v>73</v>
      </c>
      <c r="C176" s="94">
        <f>C161*C84</f>
        <v>13.035714285714288</v>
      </c>
      <c r="D176" s="89">
        <f>D169</f>
        <v>22.43</v>
      </c>
      <c r="E176" s="94">
        <f>C176*D176</f>
        <v>292.39107142857148</v>
      </c>
      <c r="F176" s="37"/>
      <c r="G176" s="14"/>
    </row>
    <row r="177" spans="1:7" x14ac:dyDescent="0.25">
      <c r="A177" s="87" t="str">
        <f>+A161</f>
        <v>Dias Trabalhados por mês</v>
      </c>
      <c r="B177" s="3" t="s">
        <v>73</v>
      </c>
      <c r="C177" s="94">
        <f>C161*C115</f>
        <v>4.3452380952380958</v>
      </c>
      <c r="D177" s="89">
        <f>D170</f>
        <v>22.43</v>
      </c>
      <c r="E177" s="94">
        <f>C177*D177</f>
        <v>97.463690476190493</v>
      </c>
      <c r="F177" s="37"/>
      <c r="G177" s="14"/>
    </row>
    <row r="178" spans="1:7" x14ac:dyDescent="0.25">
      <c r="A178" s="87" t="s">
        <v>71</v>
      </c>
      <c r="B178" s="3" t="s">
        <v>36</v>
      </c>
      <c r="C178" s="94">
        <f>C161*C146</f>
        <v>4.3452380952380958</v>
      </c>
      <c r="D178" s="89">
        <f>D171</f>
        <v>22.43</v>
      </c>
      <c r="E178" s="94">
        <f>C178*D178</f>
        <v>97.463690476190493</v>
      </c>
      <c r="F178" s="37"/>
      <c r="G178" s="14"/>
    </row>
    <row r="179" spans="1:7" x14ac:dyDescent="0.25">
      <c r="F179" s="105">
        <f>SUM(E176:E178)</f>
        <v>487.31845238095246</v>
      </c>
      <c r="G179" s="14"/>
    </row>
    <row r="180" spans="1:7" x14ac:dyDescent="0.25">
      <c r="G180" s="14"/>
    </row>
    <row r="181" spans="1:7" x14ac:dyDescent="0.25">
      <c r="A181" s="14" t="s">
        <v>74</v>
      </c>
      <c r="F181" s="37"/>
      <c r="G181" s="14"/>
    </row>
    <row r="182" spans="1:7" x14ac:dyDescent="0.25">
      <c r="A182" s="80" t="s">
        <v>35</v>
      </c>
      <c r="B182" s="81" t="s">
        <v>36</v>
      </c>
      <c r="C182" s="81" t="s">
        <v>29</v>
      </c>
      <c r="D182" s="154" t="s">
        <v>37</v>
      </c>
      <c r="E182" s="82" t="s">
        <v>38</v>
      </c>
      <c r="F182" s="83" t="s">
        <v>39</v>
      </c>
      <c r="G182" s="14"/>
    </row>
    <row r="183" spans="1:7" x14ac:dyDescent="0.25">
      <c r="A183" s="87" t="str">
        <f>+A169</f>
        <v>Coletor</v>
      </c>
      <c r="B183" s="3" t="s">
        <v>73</v>
      </c>
      <c r="C183" s="104">
        <f>E45</f>
        <v>21</v>
      </c>
      <c r="D183" s="89">
        <f>'[1]1. Domiciliar - BT'!D113</f>
        <v>11</v>
      </c>
      <c r="E183" s="94">
        <f>C183*D183</f>
        <v>231</v>
      </c>
      <c r="F183" s="37"/>
      <c r="G183" s="14"/>
    </row>
    <row r="184" spans="1:7" x14ac:dyDescent="0.25">
      <c r="A184" s="87" t="str">
        <f>+A170</f>
        <v>Motorista</v>
      </c>
      <c r="B184" s="3" t="s">
        <v>73</v>
      </c>
      <c r="C184" s="104">
        <f>E46</f>
        <v>7</v>
      </c>
      <c r="D184" s="89">
        <v>11</v>
      </c>
      <c r="E184" s="94">
        <f>C184*D184</f>
        <v>77</v>
      </c>
      <c r="F184" s="37"/>
      <c r="G184" s="14"/>
    </row>
    <row r="185" spans="1:7" x14ac:dyDescent="0.25">
      <c r="A185" s="87" t="s">
        <v>71</v>
      </c>
      <c r="B185" s="3" t="s">
        <v>36</v>
      </c>
      <c r="C185" s="104">
        <f>E47</f>
        <v>1</v>
      </c>
      <c r="D185" s="89">
        <f>'[1]1. Domiciliar - BT'!D115</f>
        <v>11</v>
      </c>
      <c r="E185" s="94">
        <f>C185*D185</f>
        <v>11</v>
      </c>
      <c r="F185" s="37"/>
      <c r="G185" s="14"/>
    </row>
    <row r="186" spans="1:7" x14ac:dyDescent="0.25">
      <c r="D186" s="93" t="s">
        <v>56</v>
      </c>
      <c r="E186" s="94">
        <f>$B$54</f>
        <v>1</v>
      </c>
      <c r="F186" s="105">
        <f>SUM(E183:E185)*E186</f>
        <v>319</v>
      </c>
      <c r="G186" s="14"/>
    </row>
    <row r="187" spans="1:7" x14ac:dyDescent="0.25">
      <c r="G187" s="14"/>
    </row>
    <row r="188" spans="1:7" x14ac:dyDescent="0.25">
      <c r="A188" s="106" t="s">
        <v>75</v>
      </c>
      <c r="B188" s="107"/>
      <c r="C188" s="107"/>
      <c r="D188" s="52"/>
      <c r="E188" s="108"/>
      <c r="F188" s="105">
        <f>F186+F179+F172+F165+F156+F147+F131+F116+F100+F85+F69</f>
        <v>162786.67892678641</v>
      </c>
      <c r="G188" s="14"/>
    </row>
    <row r="190" spans="1:7" x14ac:dyDescent="0.25">
      <c r="A190" s="38" t="s">
        <v>76</v>
      </c>
      <c r="G190" s="14"/>
    </row>
    <row r="191" spans="1:7" ht="11.25" customHeight="1" x14ac:dyDescent="0.25">
      <c r="G191" s="14"/>
    </row>
    <row r="192" spans="1:7" ht="13.5" customHeight="1" x14ac:dyDescent="0.25">
      <c r="A192" s="14" t="s">
        <v>77</v>
      </c>
      <c r="G192" s="14"/>
    </row>
    <row r="193" spans="1:7" ht="11.25" customHeight="1" x14ac:dyDescent="0.25">
      <c r="G193" s="14"/>
    </row>
    <row r="194" spans="1:7" ht="27.75" customHeight="1" x14ac:dyDescent="0.25">
      <c r="A194" s="80" t="s">
        <v>35</v>
      </c>
      <c r="B194" s="81" t="s">
        <v>36</v>
      </c>
      <c r="C194" s="109" t="s">
        <v>78</v>
      </c>
      <c r="D194" s="82" t="s">
        <v>37</v>
      </c>
      <c r="E194" s="82" t="s">
        <v>38</v>
      </c>
      <c r="F194" s="83" t="s">
        <v>39</v>
      </c>
      <c r="G194" s="14"/>
    </row>
    <row r="195" spans="1:7" x14ac:dyDescent="0.25">
      <c r="A195" s="84" t="s">
        <v>79</v>
      </c>
      <c r="B195" s="85" t="s">
        <v>73</v>
      </c>
      <c r="C195" s="110">
        <v>12</v>
      </c>
      <c r="D195" s="86">
        <f>'[1]1. Domiciliar - BT'!D125</f>
        <v>129.9</v>
      </c>
      <c r="E195" s="86">
        <f t="shared" ref="E195:E204" si="1">IFERROR(D195/C195,0)</f>
        <v>10.825000000000001</v>
      </c>
      <c r="G195" s="14"/>
    </row>
    <row r="196" spans="1:7" ht="12.75" customHeight="1" x14ac:dyDescent="0.25">
      <c r="A196" s="87" t="s">
        <v>80</v>
      </c>
      <c r="B196" s="3" t="s">
        <v>73</v>
      </c>
      <c r="C196" s="110">
        <v>4</v>
      </c>
      <c r="D196" s="86">
        <v>70.5</v>
      </c>
      <c r="E196" s="86">
        <f t="shared" si="1"/>
        <v>17.625</v>
      </c>
      <c r="G196" s="14"/>
    </row>
    <row r="197" spans="1:7" x14ac:dyDescent="0.25">
      <c r="A197" s="87" t="s">
        <v>81</v>
      </c>
      <c r="B197" s="3" t="s">
        <v>73</v>
      </c>
      <c r="C197" s="110">
        <v>4</v>
      </c>
      <c r="D197" s="86">
        <v>120</v>
      </c>
      <c r="E197" s="86">
        <f t="shared" si="1"/>
        <v>30</v>
      </c>
      <c r="G197" s="14"/>
    </row>
    <row r="198" spans="1:7" ht="12.75" customHeight="1" x14ac:dyDescent="0.25">
      <c r="A198" s="87" t="s">
        <v>82</v>
      </c>
      <c r="B198" s="3" t="s">
        <v>73</v>
      </c>
      <c r="C198" s="110">
        <v>4</v>
      </c>
      <c r="D198" s="86">
        <f>'[1]1. Domiciliar - BT'!D128</f>
        <v>17.899999999999999</v>
      </c>
      <c r="E198" s="86">
        <f t="shared" si="1"/>
        <v>4.4749999999999996</v>
      </c>
      <c r="G198" s="14"/>
    </row>
    <row r="199" spans="1:7" ht="13.5" customHeight="1" x14ac:dyDescent="0.25">
      <c r="A199" s="87" t="s">
        <v>83</v>
      </c>
      <c r="B199" s="3" t="s">
        <v>84</v>
      </c>
      <c r="C199" s="110">
        <v>3</v>
      </c>
      <c r="D199" s="86">
        <v>59</v>
      </c>
      <c r="E199" s="86">
        <f t="shared" si="1"/>
        <v>19.666666666666668</v>
      </c>
      <c r="G199" s="14"/>
    </row>
    <row r="200" spans="1:7" ht="12.75" customHeight="1" x14ac:dyDescent="0.25">
      <c r="A200" s="87" t="s">
        <v>85</v>
      </c>
      <c r="B200" s="3" t="s">
        <v>84</v>
      </c>
      <c r="C200" s="110">
        <v>3</v>
      </c>
      <c r="D200" s="86">
        <f>'[1]1. Domiciliar - BT'!D130</f>
        <v>17.899999999999999</v>
      </c>
      <c r="E200" s="86">
        <f t="shared" si="1"/>
        <v>5.9666666666666659</v>
      </c>
    </row>
    <row r="201" spans="1:7" x14ac:dyDescent="0.25">
      <c r="A201" s="87" t="s">
        <v>86</v>
      </c>
      <c r="B201" s="3" t="s">
        <v>73</v>
      </c>
      <c r="C201" s="110">
        <v>12</v>
      </c>
      <c r="D201" s="86">
        <f>'[1]1. Domiciliar - BT'!D131</f>
        <v>129.9</v>
      </c>
      <c r="E201" s="86">
        <f t="shared" si="1"/>
        <v>10.825000000000001</v>
      </c>
    </row>
    <row r="202" spans="1:7" s="114" customFormat="1" x14ac:dyDescent="0.25">
      <c r="A202" s="111" t="s">
        <v>196</v>
      </c>
      <c r="B202" s="112" t="s">
        <v>73</v>
      </c>
      <c r="C202" s="110">
        <v>12</v>
      </c>
      <c r="D202" s="86">
        <v>16.66</v>
      </c>
      <c r="E202" s="86">
        <f t="shared" si="1"/>
        <v>1.3883333333333334</v>
      </c>
      <c r="F202" s="113"/>
      <c r="G202" s="113"/>
    </row>
    <row r="203" spans="1:7" x14ac:dyDescent="0.25">
      <c r="A203" s="87" t="s">
        <v>88</v>
      </c>
      <c r="B203" s="3" t="s">
        <v>84</v>
      </c>
      <c r="C203" s="110">
        <v>0.25</v>
      </c>
      <c r="D203" s="86">
        <v>12.85</v>
      </c>
      <c r="E203" s="86">
        <f t="shared" si="1"/>
        <v>51.4</v>
      </c>
    </row>
    <row r="204" spans="1:7" ht="12.75" customHeight="1" x14ac:dyDescent="0.25">
      <c r="A204" s="87" t="s">
        <v>89</v>
      </c>
      <c r="B204" s="3" t="s">
        <v>90</v>
      </c>
      <c r="C204" s="110">
        <v>1</v>
      </c>
      <c r="D204" s="86">
        <v>18</v>
      </c>
      <c r="E204" s="86">
        <f t="shared" si="1"/>
        <v>18</v>
      </c>
    </row>
    <row r="205" spans="1:7" x14ac:dyDescent="0.25">
      <c r="A205" s="87" t="s">
        <v>91</v>
      </c>
      <c r="B205" s="3" t="s">
        <v>92</v>
      </c>
      <c r="C205" s="97">
        <v>1</v>
      </c>
      <c r="D205" s="86">
        <f>'[1]1. Domiciliar - BT'!D135</f>
        <v>59.9</v>
      </c>
      <c r="E205" s="89">
        <f>C205*D205</f>
        <v>59.9</v>
      </c>
    </row>
    <row r="206" spans="1:7" x14ac:dyDescent="0.25">
      <c r="A206" s="87" t="s">
        <v>54</v>
      </c>
      <c r="B206" s="3" t="s">
        <v>55</v>
      </c>
      <c r="C206" s="97">
        <f>E45</f>
        <v>21</v>
      </c>
      <c r="D206" s="89">
        <f>+SUM(E195:E205)</f>
        <v>230.07166666666669</v>
      </c>
      <c r="E206" s="89">
        <f>C206*D206</f>
        <v>4831.5050000000001</v>
      </c>
    </row>
    <row r="207" spans="1:7" x14ac:dyDescent="0.25">
      <c r="D207" s="93" t="s">
        <v>56</v>
      </c>
      <c r="E207" s="94">
        <f>$B$54</f>
        <v>1</v>
      </c>
      <c r="F207" s="95">
        <f>E206*E207</f>
        <v>4831.5050000000001</v>
      </c>
    </row>
    <row r="208" spans="1:7" ht="11.25" customHeight="1" x14ac:dyDescent="0.25"/>
    <row r="209" spans="1:7" ht="13.5" customHeight="1" x14ac:dyDescent="0.25">
      <c r="A209" s="14" t="s">
        <v>93</v>
      </c>
    </row>
    <row r="210" spans="1:7" ht="11.25" customHeight="1" x14ac:dyDescent="0.25"/>
    <row r="211" spans="1:7" ht="24" x14ac:dyDescent="0.25">
      <c r="A211" s="80" t="s">
        <v>35</v>
      </c>
      <c r="B211" s="81" t="s">
        <v>36</v>
      </c>
      <c r="C211" s="109" t="s">
        <v>78</v>
      </c>
      <c r="D211" s="82" t="s">
        <v>37</v>
      </c>
      <c r="E211" s="82" t="s">
        <v>38</v>
      </c>
      <c r="F211" s="83" t="s">
        <v>39</v>
      </c>
    </row>
    <row r="212" spans="1:7" x14ac:dyDescent="0.25">
      <c r="A212" s="84" t="s">
        <v>79</v>
      </c>
      <c r="B212" s="85" t="s">
        <v>73</v>
      </c>
      <c r="C212" s="110">
        <v>18</v>
      </c>
      <c r="D212" s="86">
        <f>+D195</f>
        <v>129.9</v>
      </c>
      <c r="E212" s="86">
        <f t="shared" ref="E212:E217" si="2">IFERROR(D212/C212,0)</f>
        <v>7.2166666666666668</v>
      </c>
    </row>
    <row r="213" spans="1:7" x14ac:dyDescent="0.25">
      <c r="A213" s="87" t="s">
        <v>80</v>
      </c>
      <c r="B213" s="3" t="s">
        <v>73</v>
      </c>
      <c r="C213" s="110">
        <v>6</v>
      </c>
      <c r="D213" s="89">
        <f>+D196</f>
        <v>70.5</v>
      </c>
      <c r="E213" s="86">
        <f t="shared" si="2"/>
        <v>11.75</v>
      </c>
    </row>
    <row r="214" spans="1:7" x14ac:dyDescent="0.25">
      <c r="A214" s="87" t="s">
        <v>81</v>
      </c>
      <c r="B214" s="3" t="s">
        <v>73</v>
      </c>
      <c r="C214" s="110">
        <v>6</v>
      </c>
      <c r="D214" s="89">
        <f>+D197</f>
        <v>120</v>
      </c>
      <c r="E214" s="86">
        <f t="shared" si="2"/>
        <v>20</v>
      </c>
    </row>
    <row r="215" spans="1:7" x14ac:dyDescent="0.25">
      <c r="A215" s="87" t="s">
        <v>83</v>
      </c>
      <c r="B215" s="3" t="s">
        <v>84</v>
      </c>
      <c r="C215" s="110">
        <v>12</v>
      </c>
      <c r="D215" s="89">
        <f>+D199</f>
        <v>59</v>
      </c>
      <c r="E215" s="86">
        <f t="shared" si="2"/>
        <v>4.916666666666667</v>
      </c>
    </row>
    <row r="216" spans="1:7" x14ac:dyDescent="0.25">
      <c r="A216" s="87" t="s">
        <v>86</v>
      </c>
      <c r="B216" s="3" t="s">
        <v>73</v>
      </c>
      <c r="C216" s="110">
        <v>18</v>
      </c>
      <c r="D216" s="89">
        <f>+D201</f>
        <v>129.9</v>
      </c>
      <c r="E216" s="86">
        <f t="shared" si="2"/>
        <v>7.2166666666666668</v>
      </c>
      <c r="G216" s="14"/>
    </row>
    <row r="217" spans="1:7" x14ac:dyDescent="0.25">
      <c r="A217" s="87" t="s">
        <v>89</v>
      </c>
      <c r="B217" s="3" t="s">
        <v>90</v>
      </c>
      <c r="C217" s="110">
        <v>1</v>
      </c>
      <c r="D217" s="89">
        <f>+D204</f>
        <v>18</v>
      </c>
      <c r="E217" s="86">
        <f t="shared" si="2"/>
        <v>18</v>
      </c>
      <c r="G217" s="14"/>
    </row>
    <row r="218" spans="1:7" x14ac:dyDescent="0.25">
      <c r="A218" s="87" t="s">
        <v>91</v>
      </c>
      <c r="B218" s="3" t="s">
        <v>92</v>
      </c>
      <c r="C218" s="97">
        <v>1</v>
      </c>
      <c r="D218" s="86">
        <f>'[1]1. Domiciliar - BT'!D148</f>
        <v>49.9</v>
      </c>
      <c r="E218" s="89">
        <f>C218*D218</f>
        <v>49.9</v>
      </c>
      <c r="G218" s="14"/>
    </row>
    <row r="219" spans="1:7" x14ac:dyDescent="0.25">
      <c r="A219" s="87" t="s">
        <v>54</v>
      </c>
      <c r="B219" s="3" t="s">
        <v>55</v>
      </c>
      <c r="C219" s="97">
        <f>E46+E47</f>
        <v>8</v>
      </c>
      <c r="D219" s="89">
        <f>+SUM(E212:E218)</f>
        <v>119</v>
      </c>
      <c r="E219" s="89">
        <f>C219*D219</f>
        <v>952</v>
      </c>
      <c r="G219" s="14"/>
    </row>
    <row r="220" spans="1:7" x14ac:dyDescent="0.25">
      <c r="D220" s="93" t="s">
        <v>56</v>
      </c>
      <c r="E220" s="94">
        <f>$B$54</f>
        <v>1</v>
      </c>
      <c r="F220" s="95">
        <f>E219*E220</f>
        <v>952</v>
      </c>
      <c r="G220" s="14"/>
    </row>
    <row r="221" spans="1:7" ht="11.25" customHeight="1" x14ac:dyDescent="0.25">
      <c r="G221" s="14"/>
    </row>
    <row r="222" spans="1:7" x14ac:dyDescent="0.25">
      <c r="A222" s="106" t="s">
        <v>94</v>
      </c>
      <c r="B222" s="115"/>
      <c r="C222" s="115"/>
      <c r="D222" s="116"/>
      <c r="E222" s="117"/>
      <c r="F222" s="118">
        <f>+F207+F220</f>
        <v>5783.5050000000001</v>
      </c>
      <c r="G222" s="14"/>
    </row>
    <row r="223" spans="1:7" ht="11.25" customHeight="1" x14ac:dyDescent="0.25">
      <c r="G223" s="14"/>
    </row>
    <row r="224" spans="1:7" x14ac:dyDescent="0.25">
      <c r="A224" s="38" t="s">
        <v>95</v>
      </c>
      <c r="G224" s="14"/>
    </row>
    <row r="225" spans="1:10" ht="11.25" customHeight="1" x14ac:dyDescent="0.25">
      <c r="B225" s="119"/>
      <c r="G225" s="14"/>
    </row>
    <row r="226" spans="1:10" x14ac:dyDescent="0.25">
      <c r="A226" s="14" t="s">
        <v>96</v>
      </c>
      <c r="G226" s="14"/>
    </row>
    <row r="227" spans="1:10" ht="11.25" customHeight="1" x14ac:dyDescent="0.25">
      <c r="G227" s="14"/>
    </row>
    <row r="228" spans="1:10" x14ac:dyDescent="0.25">
      <c r="A228" s="155" t="s">
        <v>97</v>
      </c>
      <c r="G228" s="14"/>
    </row>
    <row r="229" spans="1:10" x14ac:dyDescent="0.25">
      <c r="A229" s="80" t="s">
        <v>35</v>
      </c>
      <c r="B229" s="81" t="s">
        <v>36</v>
      </c>
      <c r="C229" s="81" t="s">
        <v>29</v>
      </c>
      <c r="D229" s="82" t="s">
        <v>37</v>
      </c>
      <c r="E229" s="82" t="s">
        <v>38</v>
      </c>
      <c r="F229" s="83" t="s">
        <v>39</v>
      </c>
      <c r="G229" s="14"/>
    </row>
    <row r="230" spans="1:10" x14ac:dyDescent="0.25">
      <c r="A230" s="84" t="s">
        <v>205</v>
      </c>
      <c r="B230" s="85" t="s">
        <v>73</v>
      </c>
      <c r="C230" s="85">
        <v>1</v>
      </c>
      <c r="D230" s="86">
        <f>615357.4+2845.1</f>
        <v>618202.5</v>
      </c>
      <c r="E230" s="86">
        <f>C230*D230</f>
        <v>618202.5</v>
      </c>
      <c r="G230" s="120">
        <v>616384.56999999995</v>
      </c>
      <c r="H230" s="121">
        <f>D230/G230</f>
        <v>1.0029493437838655</v>
      </c>
    </row>
    <row r="231" spans="1:10" x14ac:dyDescent="0.25">
      <c r="A231" s="87" t="s">
        <v>98</v>
      </c>
      <c r="B231" s="3" t="s">
        <v>99</v>
      </c>
      <c r="C231" s="3">
        <v>10</v>
      </c>
      <c r="D231" s="89"/>
      <c r="E231" s="89"/>
      <c r="G231" s="14"/>
    </row>
    <row r="232" spans="1:10" x14ac:dyDescent="0.25">
      <c r="A232" s="87" t="s">
        <v>100</v>
      </c>
      <c r="B232" s="3" t="s">
        <v>99</v>
      </c>
      <c r="C232" s="3">
        <v>10</v>
      </c>
      <c r="D232" s="89"/>
      <c r="E232" s="89"/>
      <c r="F232" s="122"/>
      <c r="I232" s="121"/>
      <c r="J232" s="121"/>
    </row>
    <row r="233" spans="1:10" x14ac:dyDescent="0.25">
      <c r="A233" s="87" t="s">
        <v>101</v>
      </c>
      <c r="B233" s="3" t="s">
        <v>25</v>
      </c>
      <c r="C233" s="89">
        <f>IFERROR(VLOOKUP(C231,'[1]5. Depreciação'!A3:B17,2,FALSE()),0)</f>
        <v>65.180000000000007</v>
      </c>
      <c r="D233" s="89">
        <f>E230</f>
        <v>618202.5</v>
      </c>
      <c r="E233" s="89">
        <f>C233*D233/100</f>
        <v>402944.38950000005</v>
      </c>
    </row>
    <row r="234" spans="1:10" x14ac:dyDescent="0.25">
      <c r="A234" s="123" t="s">
        <v>102</v>
      </c>
      <c r="B234" s="124" t="s">
        <v>41</v>
      </c>
      <c r="C234" s="124">
        <f>C231*12</f>
        <v>120</v>
      </c>
      <c r="D234" s="125">
        <f>IF(C232&lt;=C231,E233,0)</f>
        <v>402944.38950000005</v>
      </c>
      <c r="E234" s="125">
        <f>IFERROR(D234/C234,0)</f>
        <v>3357.8699125000003</v>
      </c>
    </row>
    <row r="235" spans="1:10" x14ac:dyDescent="0.25">
      <c r="A235" s="84" t="s">
        <v>103</v>
      </c>
      <c r="B235" s="85" t="s">
        <v>73</v>
      </c>
      <c r="C235" s="85">
        <f>C230</f>
        <v>1</v>
      </c>
      <c r="D235" s="86">
        <f>G235*H230</f>
        <v>266985.11531526496</v>
      </c>
      <c r="E235" s="86">
        <f>C235*D235</f>
        <v>266985.11531526496</v>
      </c>
      <c r="G235" s="14">
        <v>266200</v>
      </c>
    </row>
    <row r="236" spans="1:10" x14ac:dyDescent="0.25">
      <c r="A236" s="87" t="s">
        <v>104</v>
      </c>
      <c r="B236" s="3" t="s">
        <v>99</v>
      </c>
      <c r="C236" s="3">
        <v>10</v>
      </c>
      <c r="D236" s="89"/>
      <c r="E236" s="89"/>
    </row>
    <row r="237" spans="1:10" x14ac:dyDescent="0.25">
      <c r="A237" s="87" t="s">
        <v>105</v>
      </c>
      <c r="B237" s="3" t="s">
        <v>99</v>
      </c>
      <c r="C237" s="3">
        <v>10</v>
      </c>
      <c r="D237" s="89"/>
      <c r="E237" s="89"/>
      <c r="F237" s="122"/>
      <c r="I237" s="121"/>
      <c r="J237" s="121"/>
    </row>
    <row r="238" spans="1:10" x14ac:dyDescent="0.25">
      <c r="A238" s="87" t="s">
        <v>106</v>
      </c>
      <c r="B238" s="3" t="s">
        <v>25</v>
      </c>
      <c r="C238" s="94">
        <f>IFERROR(VLOOKUP(C236,'[1]5. Depreciação'!A3:B17,2,FALSE()),0)</f>
        <v>65.180000000000007</v>
      </c>
      <c r="D238" s="89">
        <f>E235</f>
        <v>266985.11531526496</v>
      </c>
      <c r="E238" s="89">
        <f>C238*D238/100</f>
        <v>174020.89816248973</v>
      </c>
    </row>
    <row r="239" spans="1:10" x14ac:dyDescent="0.25">
      <c r="A239" s="98" t="s">
        <v>107</v>
      </c>
      <c r="B239" s="10" t="s">
        <v>41</v>
      </c>
      <c r="C239" s="10">
        <f>C236*12</f>
        <v>120</v>
      </c>
      <c r="D239" s="99">
        <f>IF(C237&lt;=C236,E238,0)</f>
        <v>174020.89816248973</v>
      </c>
      <c r="E239" s="99">
        <f>IFERROR(D239/C239,0)</f>
        <v>1450.174151354081</v>
      </c>
    </row>
    <row r="240" spans="1:10" x14ac:dyDescent="0.25">
      <c r="A240" s="90" t="s">
        <v>108</v>
      </c>
      <c r="B240" s="13"/>
      <c r="C240" s="13"/>
      <c r="D240" s="91"/>
      <c r="E240" s="92">
        <f>E234+E239</f>
        <v>4808.0440638540813</v>
      </c>
    </row>
    <row r="241" spans="1:10" x14ac:dyDescent="0.25">
      <c r="A241" s="98" t="s">
        <v>109</v>
      </c>
      <c r="B241" s="10" t="s">
        <v>73</v>
      </c>
      <c r="C241" s="3">
        <v>8</v>
      </c>
      <c r="D241" s="99">
        <f>E240</f>
        <v>4808.0440638540813</v>
      </c>
      <c r="E241" s="92">
        <f>C241*D241</f>
        <v>38464.35251083265</v>
      </c>
    </row>
    <row r="242" spans="1:10" x14ac:dyDescent="0.25">
      <c r="A242" s="126"/>
      <c r="B242" s="126"/>
      <c r="C242" s="126"/>
      <c r="D242" s="93" t="s">
        <v>56</v>
      </c>
      <c r="E242" s="94">
        <f>$B$54</f>
        <v>1</v>
      </c>
      <c r="F242" s="118">
        <f>E241*E242</f>
        <v>38464.35251083265</v>
      </c>
    </row>
    <row r="243" spans="1:10" ht="11.25" customHeight="1" x14ac:dyDescent="0.25"/>
    <row r="244" spans="1:10" x14ac:dyDescent="0.25">
      <c r="A244" s="155" t="s">
        <v>110</v>
      </c>
    </row>
    <row r="245" spans="1:10" x14ac:dyDescent="0.25">
      <c r="A245" s="80" t="s">
        <v>35</v>
      </c>
      <c r="B245" s="81" t="s">
        <v>36</v>
      </c>
      <c r="C245" s="81" t="s">
        <v>29</v>
      </c>
      <c r="D245" s="82" t="s">
        <v>37</v>
      </c>
      <c r="E245" s="82" t="s">
        <v>38</v>
      </c>
      <c r="F245" s="83" t="s">
        <v>39</v>
      </c>
      <c r="I245" s="121"/>
      <c r="J245" s="121"/>
    </row>
    <row r="246" spans="1:10" x14ac:dyDescent="0.25">
      <c r="A246" s="84" t="s">
        <v>111</v>
      </c>
      <c r="B246" s="85" t="s">
        <v>73</v>
      </c>
      <c r="C246" s="85">
        <v>1</v>
      </c>
      <c r="D246" s="86">
        <f>D230</f>
        <v>618202.5</v>
      </c>
      <c r="E246" s="86">
        <f>C246*D246</f>
        <v>618202.5</v>
      </c>
      <c r="F246" s="122"/>
      <c r="I246" s="121"/>
      <c r="J246" s="121"/>
    </row>
    <row r="247" spans="1:10" x14ac:dyDescent="0.25">
      <c r="A247" s="87" t="s">
        <v>112</v>
      </c>
      <c r="B247" s="3" t="s">
        <v>25</v>
      </c>
      <c r="C247" s="3">
        <f>'[1]1. Domiciliar - BT'!C177</f>
        <v>13.25</v>
      </c>
      <c r="D247" s="89"/>
      <c r="E247" s="89"/>
      <c r="F247" s="122"/>
      <c r="I247" s="121"/>
      <c r="J247" s="121"/>
    </row>
    <row r="248" spans="1:10" x14ac:dyDescent="0.25">
      <c r="A248" s="87" t="s">
        <v>113</v>
      </c>
      <c r="B248" s="3" t="s">
        <v>48</v>
      </c>
      <c r="C248" s="127">
        <f>IFERROR(IF(C232&lt;=C231,E230-(C233/(100*C231)*C232)*E230,E230-E233),0)</f>
        <v>215258.11049999995</v>
      </c>
      <c r="D248" s="89"/>
      <c r="E248" s="89"/>
      <c r="F248" s="122"/>
      <c r="I248" s="121"/>
      <c r="J248" s="121"/>
    </row>
    <row r="249" spans="1:10" x14ac:dyDescent="0.25">
      <c r="A249" s="87" t="s">
        <v>114</v>
      </c>
      <c r="B249" s="3" t="s">
        <v>48</v>
      </c>
      <c r="C249" s="89">
        <f>IFERROR(IF(C232&gt;=C231,C248,((((C248)-(E230-E233))*(((C231-C232)+1)/(2*(C231-C232))))+(E230-E233))),0)</f>
        <v>215258.11049999995</v>
      </c>
      <c r="D249" s="89"/>
      <c r="E249" s="89"/>
      <c r="F249" s="122"/>
      <c r="I249" s="121"/>
      <c r="J249" s="121"/>
    </row>
    <row r="250" spans="1:10" x14ac:dyDescent="0.25">
      <c r="A250" s="123" t="s">
        <v>115</v>
      </c>
      <c r="B250" s="124" t="s">
        <v>48</v>
      </c>
      <c r="C250" s="124"/>
      <c r="D250" s="125">
        <f>C247*C249/12/100</f>
        <v>2376.8083034374995</v>
      </c>
      <c r="E250" s="125">
        <f>D250</f>
        <v>2376.8083034374995</v>
      </c>
      <c r="F250" s="122"/>
      <c r="I250" s="121"/>
      <c r="J250" s="121"/>
    </row>
    <row r="251" spans="1:10" x14ac:dyDescent="0.25">
      <c r="A251" s="84" t="s">
        <v>116</v>
      </c>
      <c r="B251" s="85" t="s">
        <v>73</v>
      </c>
      <c r="C251" s="85">
        <f>C235</f>
        <v>1</v>
      </c>
      <c r="D251" s="86">
        <v>90000</v>
      </c>
      <c r="E251" s="86">
        <f>C251*D251</f>
        <v>90000</v>
      </c>
      <c r="F251" s="122"/>
      <c r="I251" s="121"/>
      <c r="J251" s="121"/>
    </row>
    <row r="252" spans="1:10" x14ac:dyDescent="0.25">
      <c r="A252" s="87" t="s">
        <v>112</v>
      </c>
      <c r="B252" s="3" t="s">
        <v>25</v>
      </c>
      <c r="C252" s="133">
        <v>15</v>
      </c>
      <c r="D252" s="89"/>
      <c r="E252" s="89"/>
      <c r="F252" s="122"/>
      <c r="I252" s="121"/>
      <c r="J252" s="121"/>
    </row>
    <row r="253" spans="1:10" x14ac:dyDescent="0.25">
      <c r="A253" s="87" t="s">
        <v>117</v>
      </c>
      <c r="B253" s="3" t="s">
        <v>48</v>
      </c>
      <c r="C253" s="127">
        <f>IFERROR(IF(C237&lt;=C236,E235-(C238/(100*C236)*C237)*E235,E235-E238),0)</f>
        <v>92964.217152775236</v>
      </c>
      <c r="D253" s="89"/>
      <c r="E253" s="89"/>
      <c r="F253" s="122"/>
      <c r="I253" s="121"/>
      <c r="J253" s="121"/>
    </row>
    <row r="254" spans="1:10" x14ac:dyDescent="0.25">
      <c r="A254" s="87" t="s">
        <v>118</v>
      </c>
      <c r="B254" s="3" t="s">
        <v>48</v>
      </c>
      <c r="C254" s="89">
        <f>IFERROR(IF(C237&gt;=C236,C253,((((C253)-(E235-E238))*(((C236-C237)+1)/(2*(C236-C237))))+(E235-E238))),0)</f>
        <v>92964.217152775236</v>
      </c>
      <c r="D254" s="89"/>
      <c r="E254" s="89"/>
      <c r="F254" s="122"/>
      <c r="I254" s="121"/>
      <c r="J254" s="121"/>
    </row>
    <row r="255" spans="1:10" x14ac:dyDescent="0.25">
      <c r="A255" s="98" t="s">
        <v>119</v>
      </c>
      <c r="B255" s="10" t="s">
        <v>48</v>
      </c>
      <c r="C255" s="10"/>
      <c r="D255" s="99">
        <f>C252*C254/12/100</f>
        <v>1162.0527144096905</v>
      </c>
      <c r="E255" s="99">
        <f>D255</f>
        <v>1162.0527144096905</v>
      </c>
      <c r="F255" s="122"/>
      <c r="I255" s="121"/>
      <c r="J255" s="121"/>
    </row>
    <row r="256" spans="1:10" x14ac:dyDescent="0.25">
      <c r="A256" s="90" t="s">
        <v>108</v>
      </c>
      <c r="B256" s="13"/>
      <c r="C256" s="13"/>
      <c r="D256" s="91"/>
      <c r="E256" s="92">
        <f>E250+E255</f>
        <v>3538.8610178471899</v>
      </c>
      <c r="F256" s="122"/>
      <c r="I256" s="121"/>
      <c r="J256" s="121"/>
    </row>
    <row r="257" spans="1:10" x14ac:dyDescent="0.25">
      <c r="A257" s="98" t="s">
        <v>109</v>
      </c>
      <c r="B257" s="10" t="s">
        <v>73</v>
      </c>
      <c r="C257" s="3">
        <f>C241</f>
        <v>8</v>
      </c>
      <c r="D257" s="99">
        <f>E256</f>
        <v>3538.8610178471899</v>
      </c>
      <c r="E257" s="92">
        <f>C257*D257</f>
        <v>28310.88814277752</v>
      </c>
      <c r="F257" s="122"/>
      <c r="I257" s="121"/>
      <c r="J257" s="121"/>
    </row>
    <row r="258" spans="1:10" x14ac:dyDescent="0.25">
      <c r="C258" s="128"/>
      <c r="D258" s="93" t="s">
        <v>56</v>
      </c>
      <c r="E258" s="94">
        <f>$B$54</f>
        <v>1</v>
      </c>
      <c r="F258" s="118">
        <f>E257*E258</f>
        <v>28310.88814277752</v>
      </c>
      <c r="I258" s="121"/>
      <c r="J258" s="121"/>
    </row>
    <row r="259" spans="1:10" ht="11.25" customHeight="1" x14ac:dyDescent="0.25">
      <c r="I259" s="121"/>
      <c r="J259" s="121"/>
    </row>
    <row r="260" spans="1:10" x14ac:dyDescent="0.25">
      <c r="A260" s="14" t="s">
        <v>201</v>
      </c>
      <c r="I260" s="121"/>
      <c r="J260" s="121"/>
    </row>
    <row r="261" spans="1:10" x14ac:dyDescent="0.25">
      <c r="A261" s="80" t="s">
        <v>35</v>
      </c>
      <c r="B261" s="81" t="s">
        <v>36</v>
      </c>
      <c r="C261" s="81" t="s">
        <v>29</v>
      </c>
      <c r="D261" s="82" t="s">
        <v>37</v>
      </c>
      <c r="E261" s="82" t="s">
        <v>38</v>
      </c>
      <c r="F261" s="83" t="s">
        <v>39</v>
      </c>
      <c r="I261" s="121"/>
      <c r="J261" s="121"/>
    </row>
    <row r="262" spans="1:10" x14ac:dyDescent="0.25">
      <c r="A262" s="84" t="s">
        <v>199</v>
      </c>
      <c r="B262" s="85" t="s">
        <v>73</v>
      </c>
      <c r="C262" s="86">
        <v>7</v>
      </c>
      <c r="D262" s="86">
        <f>0.01*($E$230)+1045.59</f>
        <v>7227.6150000000007</v>
      </c>
      <c r="E262" s="86">
        <f>C262*D262</f>
        <v>50593.305000000008</v>
      </c>
      <c r="I262" s="121"/>
      <c r="J262" s="121"/>
    </row>
    <row r="263" spans="1:10" x14ac:dyDescent="0.25">
      <c r="A263" s="87" t="s">
        <v>200</v>
      </c>
      <c r="B263" s="3" t="s">
        <v>41</v>
      </c>
      <c r="C263" s="86">
        <v>3</v>
      </c>
      <c r="D263" s="89">
        <v>3120</v>
      </c>
      <c r="E263" s="89">
        <f>C263*D263</f>
        <v>9360</v>
      </c>
      <c r="I263" s="121"/>
      <c r="J263" s="121"/>
    </row>
    <row r="264" spans="1:10" x14ac:dyDescent="0.25">
      <c r="A264" s="87" t="s">
        <v>120</v>
      </c>
      <c r="B264" s="3" t="s">
        <v>73</v>
      </c>
      <c r="C264" s="86">
        <v>7</v>
      </c>
      <c r="D264" s="89">
        <v>6000</v>
      </c>
      <c r="E264" s="89">
        <f>C264*D264</f>
        <v>42000</v>
      </c>
      <c r="F264" s="91"/>
      <c r="I264" s="121"/>
      <c r="J264" s="121"/>
    </row>
    <row r="265" spans="1:10" x14ac:dyDescent="0.25">
      <c r="A265" s="98" t="s">
        <v>121</v>
      </c>
      <c r="B265" s="10" t="s">
        <v>41</v>
      </c>
      <c r="C265" s="10">
        <v>12</v>
      </c>
      <c r="D265" s="99">
        <f>SUM(E262:E264)</f>
        <v>101953.30500000001</v>
      </c>
      <c r="E265" s="99">
        <f>D265/C265</f>
        <v>8496.1087500000012</v>
      </c>
      <c r="I265" s="121"/>
      <c r="J265" s="121"/>
    </row>
    <row r="266" spans="1:10" x14ac:dyDescent="0.25">
      <c r="D266" s="93" t="s">
        <v>56</v>
      </c>
      <c r="E266" s="94">
        <f>$B$54</f>
        <v>1</v>
      </c>
      <c r="F266" s="95">
        <f>E265*E266</f>
        <v>8496.1087500000012</v>
      </c>
      <c r="I266" s="121"/>
      <c r="J266" s="121"/>
    </row>
    <row r="267" spans="1:10" ht="11.25" customHeight="1" x14ac:dyDescent="0.25">
      <c r="I267" s="121"/>
      <c r="J267" s="121"/>
    </row>
    <row r="268" spans="1:10" x14ac:dyDescent="0.25">
      <c r="A268" s="14" t="s">
        <v>122</v>
      </c>
      <c r="B268" s="129"/>
      <c r="I268" s="121"/>
      <c r="J268" s="121"/>
    </row>
    <row r="269" spans="1:10" x14ac:dyDescent="0.25">
      <c r="B269" s="129"/>
      <c r="I269" s="121"/>
      <c r="J269" s="121"/>
    </row>
    <row r="270" spans="1:10" x14ac:dyDescent="0.25">
      <c r="A270" s="98" t="s">
        <v>123</v>
      </c>
      <c r="B270" s="130">
        <v>16000</v>
      </c>
      <c r="I270" s="121"/>
      <c r="J270" s="121"/>
    </row>
    <row r="271" spans="1:10" x14ac:dyDescent="0.25">
      <c r="B271" s="129"/>
      <c r="I271" s="121"/>
      <c r="J271" s="121"/>
    </row>
    <row r="272" spans="1:10" x14ac:dyDescent="0.25">
      <c r="A272" s="80" t="s">
        <v>35</v>
      </c>
      <c r="B272" s="81" t="s">
        <v>36</v>
      </c>
      <c r="C272" s="81" t="s">
        <v>124</v>
      </c>
      <c r="D272" s="82" t="s">
        <v>37</v>
      </c>
      <c r="E272" s="82" t="s">
        <v>38</v>
      </c>
      <c r="F272" s="83" t="s">
        <v>39</v>
      </c>
      <c r="I272" s="121"/>
      <c r="J272" s="121"/>
    </row>
    <row r="273" spans="1:10" x14ac:dyDescent="0.25">
      <c r="A273" s="84" t="s">
        <v>125</v>
      </c>
      <c r="B273" s="85" t="s">
        <v>126</v>
      </c>
      <c r="C273" s="131">
        <v>2</v>
      </c>
      <c r="D273" s="132">
        <f>'[1]1. Domiciliar - BT'!D203</f>
        <v>7.43</v>
      </c>
      <c r="E273" s="86"/>
      <c r="I273" s="121"/>
      <c r="J273" s="121"/>
    </row>
    <row r="274" spans="1:10" x14ac:dyDescent="0.25">
      <c r="A274" s="87" t="s">
        <v>127</v>
      </c>
      <c r="B274" s="3" t="s">
        <v>128</v>
      </c>
      <c r="C274" s="153">
        <v>19312.8</v>
      </c>
      <c r="D274" s="132">
        <v>3.59</v>
      </c>
      <c r="E274" s="89">
        <f>IFERROR(C274*D274,"-")</f>
        <v>69332.95199999999</v>
      </c>
      <c r="I274" s="121"/>
      <c r="J274" s="121"/>
    </row>
    <row r="275" spans="1:10" x14ac:dyDescent="0.25">
      <c r="A275" s="87" t="s">
        <v>129</v>
      </c>
      <c r="B275" s="3" t="s">
        <v>130</v>
      </c>
      <c r="C275" s="133">
        <v>2</v>
      </c>
      <c r="D275" s="89">
        <f>'[1]1. Domiciliar - BT'!D205</f>
        <v>16.989999999999998</v>
      </c>
      <c r="E275" s="89"/>
      <c r="I275" s="121"/>
      <c r="J275" s="121"/>
    </row>
    <row r="276" spans="1:10" x14ac:dyDescent="0.25">
      <c r="A276" s="87" t="s">
        <v>131</v>
      </c>
      <c r="B276" s="3" t="s">
        <v>128</v>
      </c>
      <c r="C276" s="153">
        <f>C274</f>
        <v>19312.8</v>
      </c>
      <c r="D276" s="134">
        <f>+C275*D275/1000</f>
        <v>3.3979999999999996E-2</v>
      </c>
      <c r="E276" s="89">
        <f>C276*D276</f>
        <v>656.24894399999994</v>
      </c>
      <c r="I276" s="121"/>
      <c r="J276" s="121"/>
    </row>
    <row r="277" spans="1:10" x14ac:dyDescent="0.25">
      <c r="A277" s="87" t="s">
        <v>132</v>
      </c>
      <c r="B277" s="3" t="s">
        <v>130</v>
      </c>
      <c r="C277" s="133">
        <v>0.85</v>
      </c>
      <c r="D277" s="89">
        <f>'[1]1. Domiciliar - BT'!D207</f>
        <v>19.007000000000001</v>
      </c>
      <c r="E277" s="89"/>
      <c r="I277" s="121"/>
      <c r="J277" s="121"/>
    </row>
    <row r="278" spans="1:10" x14ac:dyDescent="0.25">
      <c r="A278" s="87" t="s">
        <v>133</v>
      </c>
      <c r="B278" s="3" t="s">
        <v>128</v>
      </c>
      <c r="C278" s="153">
        <f>C274</f>
        <v>19312.8</v>
      </c>
      <c r="D278" s="134">
        <f>+C277*D277/1000</f>
        <v>1.6155950000000002E-2</v>
      </c>
      <c r="E278" s="89">
        <f>C278*D278</f>
        <v>312.01663116000003</v>
      </c>
      <c r="I278" s="121"/>
      <c r="J278" s="121"/>
    </row>
    <row r="279" spans="1:10" x14ac:dyDescent="0.25">
      <c r="A279" s="87" t="s">
        <v>134</v>
      </c>
      <c r="B279" s="3" t="s">
        <v>130</v>
      </c>
      <c r="C279" s="133">
        <v>7.55</v>
      </c>
      <c r="D279" s="89">
        <f>'[1]1. Domiciliar - BT'!D209</f>
        <v>12.8195</v>
      </c>
      <c r="E279" s="89"/>
      <c r="I279" s="121"/>
      <c r="J279" s="121"/>
    </row>
    <row r="280" spans="1:10" x14ac:dyDescent="0.25">
      <c r="A280" s="87" t="s">
        <v>135</v>
      </c>
      <c r="B280" s="3" t="s">
        <v>128</v>
      </c>
      <c r="C280" s="153">
        <f>C274</f>
        <v>19312.8</v>
      </c>
      <c r="D280" s="134">
        <f>E280/C280</f>
        <v>8.8504342543114761E-2</v>
      </c>
      <c r="E280" s="89">
        <f>C241*200/12*D279</f>
        <v>1709.2666666666667</v>
      </c>
      <c r="I280" s="121"/>
      <c r="J280" s="121"/>
    </row>
    <row r="281" spans="1:10" x14ac:dyDescent="0.25">
      <c r="A281" s="87" t="s">
        <v>136</v>
      </c>
      <c r="B281" s="3" t="s">
        <v>137</v>
      </c>
      <c r="C281" s="133">
        <v>2</v>
      </c>
      <c r="D281" s="89">
        <f>'[1]1. Domiciliar - BT'!D211</f>
        <v>13.51</v>
      </c>
      <c r="E281" s="89"/>
      <c r="I281" s="121"/>
      <c r="J281" s="121"/>
    </row>
    <row r="282" spans="1:10" x14ac:dyDescent="0.25">
      <c r="A282" s="87" t="s">
        <v>138</v>
      </c>
      <c r="B282" s="3" t="s">
        <v>128</v>
      </c>
      <c r="C282" s="153">
        <f>C274</f>
        <v>19312.8</v>
      </c>
      <c r="D282" s="134">
        <f>+C281*D281/1000</f>
        <v>2.7019999999999999E-2</v>
      </c>
      <c r="E282" s="89">
        <f>C282*D282</f>
        <v>521.8318559999999</v>
      </c>
      <c r="I282" s="121"/>
      <c r="J282" s="121"/>
    </row>
    <row r="283" spans="1:10" x14ac:dyDescent="0.25">
      <c r="A283" s="98" t="s">
        <v>139</v>
      </c>
      <c r="B283" s="10" t="s">
        <v>140</v>
      </c>
      <c r="C283" s="135"/>
      <c r="D283" s="136">
        <f>IFERROR(D274+D276+D278+D280+D282,0)</f>
        <v>3.7556602925431144</v>
      </c>
      <c r="E283" s="89"/>
      <c r="I283" s="121"/>
      <c r="J283" s="121"/>
    </row>
    <row r="284" spans="1:10" x14ac:dyDescent="0.25">
      <c r="F284" s="118">
        <f>SUM(E273:E282)</f>
        <v>72532.316097826668</v>
      </c>
      <c r="I284" s="121"/>
      <c r="J284" s="121"/>
    </row>
    <row r="285" spans="1:10" ht="11.25" customHeight="1" x14ac:dyDescent="0.25">
      <c r="I285" s="121"/>
      <c r="J285" s="121"/>
    </row>
    <row r="286" spans="1:10" x14ac:dyDescent="0.25">
      <c r="A286" s="14" t="s">
        <v>141</v>
      </c>
      <c r="I286" s="121"/>
      <c r="J286" s="121"/>
    </row>
    <row r="287" spans="1:10" x14ac:dyDescent="0.25">
      <c r="A287" s="80" t="s">
        <v>35</v>
      </c>
      <c r="B287" s="81" t="s">
        <v>36</v>
      </c>
      <c r="C287" s="81" t="s">
        <v>29</v>
      </c>
      <c r="D287" s="82" t="s">
        <v>37</v>
      </c>
      <c r="E287" s="82" t="s">
        <v>38</v>
      </c>
      <c r="F287" s="83" t="s">
        <v>39</v>
      </c>
      <c r="I287" s="121"/>
      <c r="J287" s="121"/>
    </row>
    <row r="288" spans="1:10" x14ac:dyDescent="0.25">
      <c r="A288" s="84" t="s">
        <v>142</v>
      </c>
      <c r="B288" s="85" t="s">
        <v>140</v>
      </c>
      <c r="C288" s="153">
        <f>C274</f>
        <v>19312.8</v>
      </c>
      <c r="D288" s="86">
        <v>0.74</v>
      </c>
      <c r="E288" s="86">
        <f>C288*D288</f>
        <v>14291.472</v>
      </c>
      <c r="I288" s="121"/>
      <c r="J288" s="121"/>
    </row>
    <row r="289" spans="1:10" x14ac:dyDescent="0.25">
      <c r="F289" s="118">
        <f>E288</f>
        <v>14291.472</v>
      </c>
      <c r="I289" s="121"/>
      <c r="J289" s="121"/>
    </row>
    <row r="290" spans="1:10" ht="11.25" customHeight="1" x14ac:dyDescent="0.25">
      <c r="I290" s="121"/>
      <c r="J290" s="121"/>
    </row>
    <row r="291" spans="1:10" x14ac:dyDescent="0.25">
      <c r="A291" s="14" t="s">
        <v>143</v>
      </c>
      <c r="I291" s="121"/>
      <c r="J291" s="121"/>
    </row>
    <row r="292" spans="1:10" x14ac:dyDescent="0.25">
      <c r="A292" s="80" t="s">
        <v>35</v>
      </c>
      <c r="B292" s="81" t="s">
        <v>36</v>
      </c>
      <c r="C292" s="81" t="s">
        <v>29</v>
      </c>
      <c r="D292" s="82" t="s">
        <v>37</v>
      </c>
      <c r="E292" s="82" t="s">
        <v>38</v>
      </c>
      <c r="F292" s="83" t="s">
        <v>39</v>
      </c>
      <c r="I292" s="121"/>
      <c r="J292" s="121"/>
    </row>
    <row r="293" spans="1:10" x14ac:dyDescent="0.25">
      <c r="A293" s="84" t="s">
        <v>144</v>
      </c>
      <c r="B293" s="85" t="s">
        <v>73</v>
      </c>
      <c r="C293" s="85">
        <v>6</v>
      </c>
      <c r="D293" s="86">
        <f>'[1]1. Domiciliar - BT'!D223</f>
        <v>2490</v>
      </c>
      <c r="E293" s="86">
        <f>C293*D293</f>
        <v>14940</v>
      </c>
      <c r="I293" s="121"/>
      <c r="J293" s="121"/>
    </row>
    <row r="294" spans="1:10" x14ac:dyDescent="0.25">
      <c r="A294" s="84" t="s">
        <v>145</v>
      </c>
      <c r="B294" s="85" t="s">
        <v>73</v>
      </c>
      <c r="C294" s="85">
        <v>3</v>
      </c>
      <c r="D294" s="86"/>
      <c r="E294" s="86"/>
      <c r="I294" s="121"/>
      <c r="J294" s="121"/>
    </row>
    <row r="295" spans="1:10" x14ac:dyDescent="0.25">
      <c r="A295" s="84" t="s">
        <v>146</v>
      </c>
      <c r="B295" s="85" t="s">
        <v>73</v>
      </c>
      <c r="C295" s="86">
        <f>C293*C294</f>
        <v>18</v>
      </c>
      <c r="D295" s="86">
        <v>700</v>
      </c>
      <c r="E295" s="86">
        <f>C295*D295</f>
        <v>12600</v>
      </c>
      <c r="I295" s="121"/>
      <c r="J295" s="121"/>
    </row>
    <row r="296" spans="1:10" x14ac:dyDescent="0.25">
      <c r="A296" s="87" t="s">
        <v>147</v>
      </c>
      <c r="B296" s="3" t="s">
        <v>148</v>
      </c>
      <c r="C296" s="137">
        <v>65000</v>
      </c>
      <c r="D296" s="89">
        <f>E293+E295</f>
        <v>27540</v>
      </c>
      <c r="E296" s="89">
        <f>IFERROR(D296/C296,"-")</f>
        <v>0.4236923076923077</v>
      </c>
      <c r="I296" s="121"/>
      <c r="J296" s="121"/>
    </row>
    <row r="297" spans="1:10" x14ac:dyDescent="0.25">
      <c r="A297" s="87" t="s">
        <v>149</v>
      </c>
      <c r="B297" s="3" t="s">
        <v>128</v>
      </c>
      <c r="C297" s="153">
        <v>19312.8</v>
      </c>
      <c r="D297" s="89">
        <f>E296</f>
        <v>0.4236923076923077</v>
      </c>
      <c r="E297" s="89">
        <f>IFERROR(C297*D297,0)</f>
        <v>8182.6848</v>
      </c>
      <c r="I297" s="121"/>
      <c r="J297" s="121"/>
    </row>
    <row r="298" spans="1:10" x14ac:dyDescent="0.25">
      <c r="F298" s="118">
        <f>E297</f>
        <v>8182.6848</v>
      </c>
      <c r="I298" s="121"/>
      <c r="J298" s="121"/>
    </row>
    <row r="299" spans="1:10" ht="11.25" customHeight="1" x14ac:dyDescent="0.25">
      <c r="I299" s="121"/>
      <c r="J299" s="121"/>
    </row>
    <row r="300" spans="1:10" ht="11.25" customHeight="1" x14ac:dyDescent="0.25">
      <c r="G300" s="14"/>
    </row>
    <row r="301" spans="1:10" x14ac:dyDescent="0.25">
      <c r="A301" s="106" t="s">
        <v>150</v>
      </c>
      <c r="B301" s="107"/>
      <c r="C301" s="107"/>
      <c r="D301" s="52"/>
      <c r="E301" s="108"/>
      <c r="F301" s="118">
        <f>+SUM(F230:F300)</f>
        <v>170277.82230143686</v>
      </c>
      <c r="G301" s="14"/>
    </row>
    <row r="302" spans="1:10" ht="11.25" customHeight="1" x14ac:dyDescent="0.25">
      <c r="G302" s="14"/>
    </row>
    <row r="303" spans="1:10" x14ac:dyDescent="0.25">
      <c r="A303" s="38" t="s">
        <v>151</v>
      </c>
      <c r="B303" s="38"/>
      <c r="C303" s="38"/>
      <c r="D303" s="37"/>
      <c r="E303" s="37"/>
      <c r="F303" s="91"/>
      <c r="G303" s="14"/>
    </row>
    <row r="304" spans="1:10" ht="11.25" customHeight="1" x14ac:dyDescent="0.25">
      <c r="G304" s="14"/>
    </row>
    <row r="305" spans="1:7" x14ac:dyDescent="0.25">
      <c r="A305" s="80" t="s">
        <v>35</v>
      </c>
      <c r="B305" s="81" t="s">
        <v>36</v>
      </c>
      <c r="C305" s="81" t="s">
        <v>29</v>
      </c>
      <c r="D305" s="82" t="s">
        <v>37</v>
      </c>
      <c r="E305" s="82" t="s">
        <v>38</v>
      </c>
      <c r="F305" s="83" t="s">
        <v>39</v>
      </c>
      <c r="G305" s="14"/>
    </row>
    <row r="306" spans="1:7" x14ac:dyDescent="0.25">
      <c r="A306" s="87" t="s">
        <v>152</v>
      </c>
      <c r="B306" s="3" t="s">
        <v>73</v>
      </c>
      <c r="C306" s="110">
        <f>C241/12</f>
        <v>0.66666666666666663</v>
      </c>
      <c r="D306" s="86">
        <f>'[1]1. Domiciliar - BT'!D236</f>
        <v>59.9</v>
      </c>
      <c r="E306" s="89">
        <f t="shared" ref="E306:E313" si="3">C306*D306</f>
        <v>39.93333333333333</v>
      </c>
      <c r="F306" s="122"/>
      <c r="G306" s="14"/>
    </row>
    <row r="307" spans="1:7" x14ac:dyDescent="0.25">
      <c r="A307" s="87" t="s">
        <v>153</v>
      </c>
      <c r="B307" s="3" t="s">
        <v>73</v>
      </c>
      <c r="C307" s="110">
        <f>C241/4</f>
        <v>2</v>
      </c>
      <c r="D307" s="86">
        <f>'[1]1. Domiciliar - BT'!D237</f>
        <v>39.9</v>
      </c>
      <c r="E307" s="89">
        <f t="shared" si="3"/>
        <v>79.8</v>
      </c>
      <c r="F307" s="122"/>
      <c r="G307" s="14"/>
    </row>
    <row r="308" spans="1:7" x14ac:dyDescent="0.25">
      <c r="A308" s="87" t="s">
        <v>154</v>
      </c>
      <c r="B308" s="3" t="s">
        <v>73</v>
      </c>
      <c r="C308" s="110">
        <f>C241/4</f>
        <v>2</v>
      </c>
      <c r="D308" s="86">
        <f>'[1]1. Domiciliar - BT'!D238</f>
        <v>29.9</v>
      </c>
      <c r="E308" s="89">
        <f t="shared" si="3"/>
        <v>59.8</v>
      </c>
      <c r="F308" s="122"/>
      <c r="G308" s="14"/>
    </row>
    <row r="309" spans="1:7" x14ac:dyDescent="0.25">
      <c r="A309" s="87" t="s">
        <v>155</v>
      </c>
      <c r="B309" s="3" t="s">
        <v>156</v>
      </c>
      <c r="C309" s="110">
        <f>C241/12</f>
        <v>0.66666666666666663</v>
      </c>
      <c r="D309" s="86">
        <v>2200</v>
      </c>
      <c r="E309" s="89">
        <f t="shared" si="3"/>
        <v>1466.6666666666665</v>
      </c>
      <c r="F309" s="122"/>
      <c r="G309" s="14"/>
    </row>
    <row r="310" spans="1:7" x14ac:dyDescent="0.25">
      <c r="A310" s="87" t="s">
        <v>195</v>
      </c>
      <c r="B310" s="3" t="s">
        <v>73</v>
      </c>
      <c r="C310" s="110">
        <v>60</v>
      </c>
      <c r="D310" s="86">
        <v>2200</v>
      </c>
      <c r="E310" s="89">
        <f t="shared" si="3"/>
        <v>132000</v>
      </c>
      <c r="F310" s="122"/>
      <c r="G310" s="14"/>
    </row>
    <row r="311" spans="1:7" x14ac:dyDescent="0.25">
      <c r="A311" s="87" t="s">
        <v>157</v>
      </c>
      <c r="B311" s="3" t="s">
        <v>41</v>
      </c>
      <c r="C311" s="110">
        <v>1</v>
      </c>
      <c r="D311" s="89">
        <v>2485</v>
      </c>
      <c r="E311" s="89">
        <f t="shared" si="3"/>
        <v>2485</v>
      </c>
      <c r="F311" s="122"/>
      <c r="G311" s="14"/>
    </row>
    <row r="312" spans="1:7" x14ac:dyDescent="0.25">
      <c r="A312" s="87" t="s">
        <v>158</v>
      </c>
      <c r="B312" s="3" t="s">
        <v>159</v>
      </c>
      <c r="C312" s="133">
        <v>133.4</v>
      </c>
      <c r="D312" s="89">
        <v>6.4</v>
      </c>
      <c r="E312" s="89">
        <f t="shared" si="3"/>
        <v>853.7600000000001</v>
      </c>
      <c r="F312" s="122"/>
      <c r="G312" s="14"/>
    </row>
    <row r="313" spans="1:7" x14ac:dyDescent="0.25">
      <c r="A313" s="87" t="s">
        <v>160</v>
      </c>
      <c r="B313" s="3" t="s">
        <v>41</v>
      </c>
      <c r="C313" s="110">
        <v>1</v>
      </c>
      <c r="D313" s="89">
        <v>5000</v>
      </c>
      <c r="E313" s="89">
        <f t="shared" si="3"/>
        <v>5000</v>
      </c>
      <c r="F313" s="122"/>
      <c r="G313" s="14"/>
    </row>
    <row r="314" spans="1:7" x14ac:dyDescent="0.25">
      <c r="A314" s="38"/>
      <c r="B314" s="38"/>
      <c r="C314" s="38"/>
      <c r="D314" s="38"/>
      <c r="E314" s="37"/>
      <c r="F314" s="118">
        <f>SUM(E306:E313)</f>
        <v>141984.96000000002</v>
      </c>
      <c r="G314" s="14"/>
    </row>
    <row r="315" spans="1:7" ht="11.25" customHeight="1" x14ac:dyDescent="0.25">
      <c r="G315" s="14"/>
    </row>
    <row r="316" spans="1:7" x14ac:dyDescent="0.25">
      <c r="A316" s="106" t="s">
        <v>161</v>
      </c>
      <c r="B316" s="107"/>
      <c r="C316" s="107"/>
      <c r="D316" s="52"/>
      <c r="E316" s="108"/>
      <c r="F316" s="118">
        <f>+F314</f>
        <v>141984.96000000002</v>
      </c>
      <c r="G316" s="14"/>
    </row>
    <row r="317" spans="1:7" ht="11.25" customHeight="1" x14ac:dyDescent="0.25">
      <c r="G317" s="14"/>
    </row>
    <row r="318" spans="1:7" x14ac:dyDescent="0.25">
      <c r="A318" s="38" t="s">
        <v>162</v>
      </c>
      <c r="B318" s="38"/>
      <c r="C318" s="38"/>
      <c r="D318" s="37"/>
      <c r="E318" s="37"/>
      <c r="F318" s="91"/>
    </row>
    <row r="319" spans="1:7" ht="11.25" customHeight="1" x14ac:dyDescent="0.25"/>
    <row r="320" spans="1:7" x14ac:dyDescent="0.25">
      <c r="A320" s="80" t="s">
        <v>35</v>
      </c>
      <c r="B320" s="81" t="s">
        <v>36</v>
      </c>
      <c r="C320" s="81" t="s">
        <v>29</v>
      </c>
      <c r="D320" s="82" t="s">
        <v>37</v>
      </c>
      <c r="E320" s="82" t="s">
        <v>38</v>
      </c>
      <c r="F320" s="83" t="s">
        <v>39</v>
      </c>
    </row>
    <row r="321" spans="1:7" x14ac:dyDescent="0.25">
      <c r="A321" s="87" t="s">
        <v>163</v>
      </c>
      <c r="B321" s="138" t="s">
        <v>156</v>
      </c>
      <c r="C321" s="97">
        <f>C230</f>
        <v>1</v>
      </c>
      <c r="D321" s="89">
        <v>150</v>
      </c>
      <c r="E321" s="89">
        <f>+D321*C321</f>
        <v>150</v>
      </c>
      <c r="F321" s="122"/>
    </row>
    <row r="322" spans="1:7" x14ac:dyDescent="0.25">
      <c r="A322" s="87" t="s">
        <v>164</v>
      </c>
      <c r="B322" s="138" t="s">
        <v>41</v>
      </c>
      <c r="C322" s="3">
        <v>60</v>
      </c>
      <c r="D322" s="139">
        <v>150</v>
      </c>
      <c r="E322" s="139">
        <f>+D322/C322</f>
        <v>2.5</v>
      </c>
      <c r="F322" s="122"/>
    </row>
    <row r="323" spans="1:7" x14ac:dyDescent="0.25">
      <c r="A323" s="87" t="s">
        <v>165</v>
      </c>
      <c r="B323" s="3" t="s">
        <v>73</v>
      </c>
      <c r="C323" s="97">
        <f>+C321</f>
        <v>1</v>
      </c>
      <c r="D323" s="89">
        <f>'[1]1. Domiciliar - BT'!D253</f>
        <v>47.9</v>
      </c>
      <c r="E323" s="89">
        <f>C323*D323</f>
        <v>47.9</v>
      </c>
      <c r="F323" s="122"/>
    </row>
    <row r="324" spans="1:7" x14ac:dyDescent="0.25">
      <c r="A324" s="87" t="s">
        <v>166</v>
      </c>
      <c r="B324" s="138" t="s">
        <v>41</v>
      </c>
      <c r="C324" s="3">
        <v>1</v>
      </c>
      <c r="D324" s="139">
        <f>+E323</f>
        <v>47.9</v>
      </c>
      <c r="E324" s="139">
        <f>+D324/C324</f>
        <v>47.9</v>
      </c>
      <c r="F324" s="122"/>
    </row>
    <row r="325" spans="1:7" x14ac:dyDescent="0.25">
      <c r="A325" s="96"/>
      <c r="B325" s="96"/>
      <c r="C325" s="96"/>
      <c r="D325" s="93" t="s">
        <v>56</v>
      </c>
      <c r="E325" s="94">
        <f>$B$54</f>
        <v>1</v>
      </c>
      <c r="F325" s="118">
        <f>(E322+E324)*E325</f>
        <v>50.4</v>
      </c>
    </row>
    <row r="326" spans="1:7" s="141" customFormat="1" ht="11.25" customHeight="1" x14ac:dyDescent="0.25">
      <c r="A326" s="14"/>
      <c r="B326" s="14"/>
      <c r="C326" s="14"/>
      <c r="D326" s="15"/>
      <c r="E326" s="15"/>
      <c r="F326" s="15"/>
      <c r="G326" s="140"/>
    </row>
    <row r="327" spans="1:7" x14ac:dyDescent="0.25">
      <c r="A327" s="106" t="s">
        <v>167</v>
      </c>
      <c r="B327" s="107"/>
      <c r="C327" s="107"/>
      <c r="D327" s="52"/>
      <c r="E327" s="108"/>
      <c r="F327" s="118">
        <v>50.4</v>
      </c>
    </row>
    <row r="328" spans="1:7" ht="11.25" customHeight="1" x14ac:dyDescent="0.25"/>
    <row r="329" spans="1:7" ht="17.25" customHeight="1" x14ac:dyDescent="0.25">
      <c r="A329" s="106" t="s">
        <v>168</v>
      </c>
      <c r="B329" s="115"/>
      <c r="C329" s="115"/>
      <c r="D329" s="116"/>
      <c r="E329" s="117"/>
      <c r="F329" s="105">
        <f>+F188+F222+F301+F316+F327</f>
        <v>480883.36622822331</v>
      </c>
    </row>
    <row r="330" spans="1:7" ht="11.25" customHeight="1" x14ac:dyDescent="0.25"/>
    <row r="331" spans="1:7" x14ac:dyDescent="0.25">
      <c r="A331" s="38" t="s">
        <v>169</v>
      </c>
    </row>
    <row r="332" spans="1:7" ht="11.25" customHeight="1" x14ac:dyDescent="0.25"/>
    <row r="333" spans="1:7" x14ac:dyDescent="0.25">
      <c r="A333" s="80" t="s">
        <v>35</v>
      </c>
      <c r="B333" s="81" t="s">
        <v>36</v>
      </c>
      <c r="C333" s="81" t="s">
        <v>29</v>
      </c>
      <c r="D333" s="82" t="s">
        <v>37</v>
      </c>
      <c r="E333" s="82" t="s">
        <v>38</v>
      </c>
      <c r="F333" s="83" t="s">
        <v>39</v>
      </c>
    </row>
    <row r="334" spans="1:7" x14ac:dyDescent="0.25">
      <c r="A334" s="84" t="s">
        <v>170</v>
      </c>
      <c r="B334" s="85" t="s">
        <v>25</v>
      </c>
      <c r="C334" s="89">
        <v>33.72</v>
      </c>
      <c r="D334" s="86">
        <f>+F329</f>
        <v>480883.36622822331</v>
      </c>
      <c r="E334" s="86">
        <f>C334*D334/100</f>
        <v>162153.87109215689</v>
      </c>
    </row>
    <row r="335" spans="1:7" x14ac:dyDescent="0.25">
      <c r="F335" s="118">
        <f>+E334</f>
        <v>162153.87109215689</v>
      </c>
    </row>
    <row r="336" spans="1:7" ht="11.25" customHeight="1" x14ac:dyDescent="0.25"/>
    <row r="337" spans="1:7" x14ac:dyDescent="0.25">
      <c r="A337" s="106" t="s">
        <v>171</v>
      </c>
      <c r="B337" s="115"/>
      <c r="C337" s="115"/>
      <c r="D337" s="116"/>
      <c r="E337" s="117"/>
      <c r="F337" s="105">
        <f>F335</f>
        <v>162153.87109215689</v>
      </c>
    </row>
    <row r="338" spans="1:7" x14ac:dyDescent="0.25">
      <c r="A338" s="38"/>
      <c r="B338" s="38"/>
      <c r="C338" s="38"/>
      <c r="D338" s="37"/>
      <c r="E338" s="37"/>
      <c r="F338" s="91"/>
    </row>
    <row r="339" spans="1:7" ht="11.25" customHeight="1" x14ac:dyDescent="0.25"/>
    <row r="340" spans="1:7" ht="24.75" customHeight="1" x14ac:dyDescent="0.25">
      <c r="A340" s="106" t="s">
        <v>172</v>
      </c>
      <c r="B340" s="115"/>
      <c r="C340" s="115"/>
      <c r="D340" s="116"/>
      <c r="E340" s="117"/>
      <c r="F340" s="105">
        <f>F337+F329-5.24</f>
        <v>643031.99732038018</v>
      </c>
      <c r="G340" s="15">
        <v>323880</v>
      </c>
    </row>
    <row r="341" spans="1:7" ht="12" customHeight="1" x14ac:dyDescent="0.25">
      <c r="A341" s="16"/>
      <c r="B341" s="16"/>
      <c r="C341" s="16"/>
      <c r="D341" s="142"/>
      <c r="E341" s="142"/>
      <c r="F341" s="142"/>
      <c r="G341" s="143">
        <f>F340/G340-1</f>
        <v>0.98540199246751947</v>
      </c>
    </row>
    <row r="342" spans="1:7" ht="13.8" x14ac:dyDescent="0.25">
      <c r="A342" s="24"/>
      <c r="B342" s="24"/>
      <c r="C342" s="24"/>
      <c r="D342" s="23"/>
      <c r="E342" s="23"/>
    </row>
    <row r="343" spans="1:7" ht="15.75" customHeight="1" x14ac:dyDescent="0.25">
      <c r="A343" s="144" t="s">
        <v>173</v>
      </c>
      <c r="B343" s="145"/>
      <c r="C343" s="145"/>
      <c r="D343" s="61">
        <v>1350</v>
      </c>
      <c r="E343" s="146" t="s">
        <v>174</v>
      </c>
    </row>
    <row r="345" spans="1:7" ht="25.5" customHeight="1" x14ac:dyDescent="0.25">
      <c r="A345" s="106" t="s">
        <v>175</v>
      </c>
      <c r="B345" s="107"/>
      <c r="C345" s="107"/>
      <c r="D345" s="52"/>
      <c r="E345" s="147" t="s">
        <v>176</v>
      </c>
      <c r="F345" s="148">
        <f>IFERROR(F340/D343,"-")</f>
        <v>476.31999801509642</v>
      </c>
      <c r="G345" s="15">
        <f>G340/D343</f>
        <v>239.9111111111111</v>
      </c>
    </row>
    <row r="346" spans="1:7" ht="12" customHeight="1" x14ac:dyDescent="0.25">
      <c r="A346" s="38"/>
      <c r="B346" s="38"/>
      <c r="C346" s="38"/>
      <c r="D346" s="37"/>
      <c r="E346" s="37"/>
      <c r="F346" s="37"/>
      <c r="G346" s="143">
        <f>F345/G345-1</f>
        <v>0.98540199246751947</v>
      </c>
    </row>
    <row r="347" spans="1:7" s="19" customFormat="1" ht="9.75" customHeight="1" x14ac:dyDescent="0.25">
      <c r="A347" s="142"/>
      <c r="B347" s="15"/>
      <c r="C347" s="15"/>
      <c r="D347" s="15"/>
      <c r="E347" s="15"/>
      <c r="F347" s="15"/>
      <c r="G347" s="21"/>
    </row>
    <row r="348" spans="1:7" s="19" customFormat="1" ht="9.75" customHeight="1" x14ac:dyDescent="0.25">
      <c r="A348" s="142"/>
      <c r="B348" s="15"/>
      <c r="C348" s="15"/>
      <c r="D348" s="15"/>
      <c r="E348" s="15"/>
      <c r="F348" s="15"/>
      <c r="G348" s="21"/>
    </row>
    <row r="349" spans="1:7" s="19" customFormat="1" ht="9.75" customHeight="1" x14ac:dyDescent="0.25">
      <c r="A349" s="142"/>
      <c r="B349" s="15"/>
      <c r="C349" s="15"/>
      <c r="D349" s="15"/>
      <c r="E349" s="15"/>
      <c r="F349" s="15"/>
      <c r="G349" s="21"/>
    </row>
    <row r="379" s="14" customFormat="1" ht="9" customHeight="1" x14ac:dyDescent="0.25"/>
  </sheetData>
  <mergeCells count="7">
    <mergeCell ref="A44:D44"/>
    <mergeCell ref="A50:D50"/>
    <mergeCell ref="A11:F11"/>
    <mergeCell ref="A12:F12"/>
    <mergeCell ref="A14:F14"/>
    <mergeCell ref="A28:C28"/>
    <mergeCell ref="A43:E43"/>
  </mergeCells>
  <hyperlinks>
    <hyperlink ref="A228" location="AbaDeprec" display="3.1.1. Depreciação" xr:uid="{00000000-0004-0000-0200-000000000000}"/>
    <hyperlink ref="A244" location="AbaRemun" display="3.1.2. Remuneração do Capital" xr:uid="{00000000-0004-0000-0200-000001000000}"/>
  </hyperlinks>
  <pageMargins left="0.905555555555556" right="0.51180555555555596" top="0.74791666666666701" bottom="0.74791666666666701" header="0.511811023622047" footer="0.31527777777777799"/>
  <pageSetup paperSize="9" scale="76" orientation="portrait" horizontalDpi="300" verticalDpi="300" r:id="rId1"/>
  <headerFooter>
    <oddFooter>&amp;R&amp;P de &amp;N</oddFooter>
  </headerFooter>
  <rowBreaks count="1" manualBreakCount="1">
    <brk id="345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Resumo (1a. Repac)ñ</vt:lpstr>
      <vt:lpstr>1. Domiciliar - BT (1a. Repac)ñ</vt:lpstr>
      <vt:lpstr>1. Domiciliar - AT (1a. Repac)ñ</vt:lpstr>
      <vt:lpstr>'1. Domiciliar - AT (1a. Repac)ñ'!Area_de_impressao</vt:lpstr>
      <vt:lpstr>'1. Domiciliar - BT (1a. Repac)ñ'!Area_de_impressao</vt:lpstr>
      <vt:lpstr>'Resumo (1a. Repac)ñ'!Area_de_impressao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Thiago Pradella</dc:creator>
  <dc:description/>
  <cp:lastModifiedBy>User</cp:lastModifiedBy>
  <cp:revision>0</cp:revision>
  <cp:lastPrinted>2025-11-11T18:24:15Z</cp:lastPrinted>
  <dcterms:created xsi:type="dcterms:W3CDTF">2023-05-29T18:12:31Z</dcterms:created>
  <dcterms:modified xsi:type="dcterms:W3CDTF">2025-11-27T19:19:16Z</dcterms:modified>
  <dc:language>pt-BR</dc:language>
</cp:coreProperties>
</file>